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460" activeTab="0"/>
  </bookViews>
  <sheets>
    <sheet name="Master Items" sheetId="1" r:id="rId1"/>
    <sheet name="Construction Costs &amp; Depr" sheetId="2" r:id="rId2"/>
    <sheet name="Utilization" sheetId="3" r:id="rId3"/>
    <sheet name="Pro Forma IS" sheetId="4" r:id="rId4"/>
    <sheet name="%-Net Rev Analysis" sheetId="5" r:id="rId5"/>
    <sheet name="Model Comparision" sheetId="6" r:id="rId6"/>
    <sheet name="Patient-Day Analysis" sheetId="7" r:id="rId7"/>
    <sheet name="IS-More Detail" sheetId="8" r:id="rId8"/>
    <sheet name="Revenue" sheetId="9" r:id="rId9"/>
    <sheet name="FTE Computations" sheetId="10" r:id="rId10"/>
    <sheet name="Staffing" sheetId="11" r:id="rId11"/>
    <sheet name="Patient Related" sheetId="12" r:id="rId12"/>
    <sheet name="Operations" sheetId="13" r:id="rId13"/>
    <sheet name="Loan Payment Calc" sheetId="14" r:id="rId14"/>
    <sheet name="Extra Loan Payment Calc" sheetId="15" r:id="rId15"/>
    <sheet name="Cash Flow" sheetId="16" r:id="rId16"/>
    <sheet name="Assumptions" sheetId="17" r:id="rId17"/>
    <sheet name="CAP Calculation" sheetId="18" r:id="rId18"/>
    <sheet name="Questions" sheetId="19" r:id="rId19"/>
  </sheets>
  <definedNames>
    <definedName name="Avg.CC.LOS">'Utilization'!$E$9</definedName>
    <definedName name="Avg.IP.LOS">'Utilization'!$E$7</definedName>
    <definedName name="Avg.Res.LOS">'Utilization'!$E$8</definedName>
    <definedName name="Benefits">'Staffing'!$E$166</definedName>
    <definedName name="CON.Number">'Master Items'!$B$5</definedName>
    <definedName name="FTE12Hour">'Staffing'!$L$10</definedName>
    <definedName name="FTE8Hour">'Staffing'!$L$12</definedName>
    <definedName name="Name">'Master Items'!$B$4</definedName>
    <definedName name="Number.of.Beds">'Utilization'!$E$6</definedName>
    <definedName name="Occupancy.Rate">'Utilization'!$D$76</definedName>
    <definedName name="Period">'Model Comparision'!$K$2</definedName>
    <definedName name="_xlnm.Print_Area" localSheetId="15">'Cash Flow'!$A$1:$L$70</definedName>
    <definedName name="_xlnm.Print_Area" localSheetId="5">'Model Comparision'!$A$1:$M$83</definedName>
    <definedName name="_xlnm.Print_Area" localSheetId="3">'Pro Forma IS'!$A$1:$O$58</definedName>
    <definedName name="_xlnm.Print_Titles" localSheetId="10">'Staffing'!$1:$3</definedName>
    <definedName name="Reserved">'Master Items'!$B$25</definedName>
    <definedName name="solver_lin" localSheetId="3" hidden="1">0</definedName>
    <definedName name="solver_num" localSheetId="3" hidden="1">0</definedName>
    <definedName name="solver_opt" localSheetId="3" hidden="1">'Pro Forma IS'!$G$47</definedName>
    <definedName name="solver_typ" localSheetId="3" hidden="1">1</definedName>
    <definedName name="solver_val" localSheetId="3" hidden="1">0</definedName>
    <definedName name="state">'Master Items'!$B$6</definedName>
    <definedName name="Submission.Date">'Master Items'!$B$7</definedName>
    <definedName name="Title">'Master Items'!$B$3</definedName>
    <definedName name="Version">'Master Items'!$B$11</definedName>
    <definedName name="Weighted.Rev.Rate">'Revenue'!$I$69</definedName>
  </definedNames>
  <calcPr fullCalcOnLoad="1"/>
</workbook>
</file>

<file path=xl/comments1.xml><?xml version="1.0" encoding="utf-8"?>
<comments xmlns="http://schemas.openxmlformats.org/spreadsheetml/2006/main">
  <authors>
    <author>Andrew J. Reed</author>
  </authors>
  <commentList>
    <comment ref="B25" authorId="0">
      <text>
        <r>
          <rPr>
            <b/>
            <sz val="8"/>
            <rFont val="Tahoma"/>
            <family val="2"/>
          </rPr>
          <t>Andrew J. Reed:</t>
        </r>
        <r>
          <rPr>
            <sz val="8"/>
            <rFont val="Tahoma"/>
            <family val="2"/>
          </rPr>
          <t xml:space="preserve">
</t>
        </r>
      </text>
    </comment>
  </commentList>
</comments>
</file>

<file path=xl/comments17.xml><?xml version="1.0" encoding="utf-8"?>
<comments xmlns="http://schemas.openxmlformats.org/spreadsheetml/2006/main">
  <authors>
    <author>Andrew Reed</author>
    <author>Andrew J. Reed</author>
  </authors>
  <commentList>
    <comment ref="H22" authorId="0">
      <text>
        <r>
          <rPr>
            <b/>
            <sz val="8"/>
            <rFont val="Tahoma"/>
            <family val="2"/>
          </rPr>
          <t>Andrew Reed:</t>
        </r>
        <r>
          <rPr>
            <sz val="8"/>
            <rFont val="Tahoma"/>
            <family val="2"/>
          </rPr>
          <t xml:space="preserve">
Linked.</t>
        </r>
      </text>
    </comment>
    <comment ref="C25" authorId="0">
      <text>
        <r>
          <rPr>
            <b/>
            <sz val="8"/>
            <rFont val="Tahoma"/>
            <family val="2"/>
          </rPr>
          <t>Andrew Reed:</t>
        </r>
        <r>
          <rPr>
            <sz val="8"/>
            <rFont val="Tahoma"/>
            <family val="2"/>
          </rPr>
          <t xml:space="preserve">
Linked
</t>
        </r>
      </text>
    </comment>
    <comment ref="E25" authorId="0">
      <text>
        <r>
          <rPr>
            <b/>
            <sz val="8"/>
            <rFont val="Tahoma"/>
            <family val="2"/>
          </rPr>
          <t>Andrew Reed:</t>
        </r>
        <r>
          <rPr>
            <sz val="8"/>
            <rFont val="Tahoma"/>
            <family val="2"/>
          </rPr>
          <t xml:space="preserve">
Linked</t>
        </r>
      </text>
    </comment>
    <comment ref="G25" authorId="0">
      <text>
        <r>
          <rPr>
            <b/>
            <sz val="8"/>
            <rFont val="Tahoma"/>
            <family val="2"/>
          </rPr>
          <t>Andrew Reed:</t>
        </r>
        <r>
          <rPr>
            <sz val="8"/>
            <rFont val="Tahoma"/>
            <family val="2"/>
          </rPr>
          <t xml:space="preserve">
Linked
</t>
        </r>
      </text>
    </comment>
    <comment ref="E11" authorId="0">
      <text>
        <r>
          <rPr>
            <b/>
            <sz val="8"/>
            <rFont val="Tahoma"/>
            <family val="2"/>
          </rPr>
          <t>Andrew Reed:</t>
        </r>
        <r>
          <rPr>
            <sz val="8"/>
            <rFont val="Tahoma"/>
            <family val="2"/>
          </rPr>
          <t xml:space="preserve">
Linked</t>
        </r>
      </text>
    </comment>
    <comment ref="E12" authorId="0">
      <text>
        <r>
          <rPr>
            <b/>
            <sz val="8"/>
            <rFont val="Tahoma"/>
            <family val="2"/>
          </rPr>
          <t>Andrew Reed:</t>
        </r>
        <r>
          <rPr>
            <sz val="8"/>
            <rFont val="Tahoma"/>
            <family val="2"/>
          </rPr>
          <t xml:space="preserve">
Linked
</t>
        </r>
      </text>
    </comment>
    <comment ref="E13" authorId="0">
      <text>
        <r>
          <rPr>
            <b/>
            <sz val="8"/>
            <rFont val="Tahoma"/>
            <family val="2"/>
          </rPr>
          <t>Andrew Reed:</t>
        </r>
        <r>
          <rPr>
            <sz val="8"/>
            <rFont val="Tahoma"/>
            <family val="2"/>
          </rPr>
          <t xml:space="preserve">
Linked</t>
        </r>
      </text>
    </comment>
    <comment ref="E14" authorId="0">
      <text>
        <r>
          <rPr>
            <b/>
            <sz val="8"/>
            <rFont val="Tahoma"/>
            <family val="2"/>
          </rPr>
          <t>Andrew Reed:</t>
        </r>
        <r>
          <rPr>
            <sz val="8"/>
            <rFont val="Tahoma"/>
            <family val="2"/>
          </rPr>
          <t xml:space="preserve">
Linked</t>
        </r>
      </text>
    </comment>
    <comment ref="C8" authorId="0">
      <text>
        <r>
          <rPr>
            <b/>
            <sz val="8"/>
            <rFont val="Tahoma"/>
            <family val="2"/>
          </rPr>
          <t>Andrew Reed:</t>
        </r>
        <r>
          <rPr>
            <sz val="8"/>
            <rFont val="Tahoma"/>
            <family val="2"/>
          </rPr>
          <t xml:space="preserve">
Linked</t>
        </r>
      </text>
    </comment>
    <comment ref="H28" authorId="1">
      <text>
        <r>
          <rPr>
            <b/>
            <sz val="8"/>
            <rFont val="Tahoma"/>
            <family val="2"/>
          </rPr>
          <t>Andrew J. Reed:</t>
        </r>
        <r>
          <rPr>
            <sz val="8"/>
            <rFont val="Tahoma"/>
            <family val="2"/>
          </rPr>
          <t xml:space="preserve">
Linked.</t>
        </r>
      </text>
    </comment>
    <comment ref="C26" authorId="0">
      <text>
        <r>
          <rPr>
            <b/>
            <sz val="8"/>
            <rFont val="Tahoma"/>
            <family val="2"/>
          </rPr>
          <t>Andrew Reed:</t>
        </r>
        <r>
          <rPr>
            <sz val="8"/>
            <rFont val="Tahoma"/>
            <family val="2"/>
          </rPr>
          <t xml:space="preserve">
Linked
</t>
        </r>
      </text>
    </comment>
    <comment ref="E26" authorId="0">
      <text>
        <r>
          <rPr>
            <b/>
            <sz val="8"/>
            <rFont val="Tahoma"/>
            <family val="2"/>
          </rPr>
          <t>Andrew Reed:</t>
        </r>
        <r>
          <rPr>
            <sz val="8"/>
            <rFont val="Tahoma"/>
            <family val="2"/>
          </rPr>
          <t xml:space="preserve">
Linked</t>
        </r>
      </text>
    </comment>
    <comment ref="G26" authorId="0">
      <text>
        <r>
          <rPr>
            <b/>
            <sz val="8"/>
            <rFont val="Tahoma"/>
            <family val="2"/>
          </rPr>
          <t>Andrew Reed:</t>
        </r>
        <r>
          <rPr>
            <sz val="8"/>
            <rFont val="Tahoma"/>
            <family val="2"/>
          </rPr>
          <t xml:space="preserve">
Linked
</t>
        </r>
      </text>
    </comment>
  </commentList>
</comments>
</file>

<file path=xl/comments4.xml><?xml version="1.0" encoding="utf-8"?>
<comments xmlns="http://schemas.openxmlformats.org/spreadsheetml/2006/main">
  <authors>
    <author>A satisfied Microsoft Office user</author>
  </authors>
  <commentList>
    <comment ref="L50" authorId="0">
      <text>
        <r>
          <rPr>
            <sz val="8"/>
            <rFont val="Tahoma"/>
            <family val="2"/>
          </rPr>
          <t>Average Cell</t>
        </r>
      </text>
    </comment>
    <comment ref="L51" authorId="0">
      <text>
        <r>
          <rPr>
            <sz val="8"/>
            <rFont val="Tahoma"/>
            <family val="2"/>
          </rPr>
          <t>Average Cell</t>
        </r>
      </text>
    </comment>
  </commentList>
</comments>
</file>

<file path=xl/comments9.xml><?xml version="1.0" encoding="utf-8"?>
<comments xmlns="http://schemas.openxmlformats.org/spreadsheetml/2006/main">
  <authors>
    <author>A satisfied Microsoft Office user</author>
  </authors>
  <commentList>
    <comment ref="D23" authorId="0">
      <text>
        <r>
          <rPr>
            <sz val="8"/>
            <rFont val="Tahoma"/>
            <family val="2"/>
          </rPr>
          <t>Express as a negative.</t>
        </r>
      </text>
    </comment>
    <comment ref="D37" authorId="0">
      <text>
        <r>
          <rPr>
            <sz val="8"/>
            <rFont val="Tahoma"/>
            <family val="2"/>
          </rPr>
          <t>Express as a negative.</t>
        </r>
      </text>
    </comment>
    <comment ref="D51" authorId="0">
      <text>
        <r>
          <rPr>
            <sz val="8"/>
            <rFont val="Tahoma"/>
            <family val="2"/>
          </rPr>
          <t>Express as a negative.</t>
        </r>
      </text>
    </comment>
  </commentList>
</comments>
</file>

<file path=xl/sharedStrings.xml><?xml version="1.0" encoding="utf-8"?>
<sst xmlns="http://schemas.openxmlformats.org/spreadsheetml/2006/main" count="1019" uniqueCount="410">
  <si>
    <t>Total</t>
  </si>
  <si>
    <t>Primary Drivers</t>
  </si>
  <si>
    <t>Average Daily Census-Acute</t>
  </si>
  <si>
    <t>Average Daily Census-Residential</t>
  </si>
  <si>
    <t>Days of Care-Acute</t>
  </si>
  <si>
    <t>Days of Care-Residential</t>
  </si>
  <si>
    <t>Revenue</t>
  </si>
  <si>
    <t>Acute Care</t>
  </si>
  <si>
    <t>Residential Care</t>
  </si>
  <si>
    <t>Less Unpaid Care - Acute</t>
  </si>
  <si>
    <t>Less Unpaid Care - Residential</t>
  </si>
  <si>
    <t>Total Revenue</t>
  </si>
  <si>
    <t>Expense</t>
  </si>
  <si>
    <t>Personnel</t>
  </si>
  <si>
    <t>Patient Related - Acute</t>
  </si>
  <si>
    <t>Patient Related - Residential</t>
  </si>
  <si>
    <t>Operational</t>
  </si>
  <si>
    <t xml:space="preserve">Average Cost Per Day </t>
  </si>
  <si>
    <t>Break-even ADC (mix dependent)</t>
  </si>
  <si>
    <t>Break-even Days (mix dependent)</t>
  </si>
  <si>
    <t>Fixed Costs</t>
  </si>
  <si>
    <t>Variable Costs</t>
  </si>
  <si>
    <t>Variable Cost Per Unit</t>
  </si>
  <si>
    <t>Average Net Rate</t>
  </si>
  <si>
    <t>Will the project result in more patients/referrals?</t>
  </si>
  <si>
    <t>Will greater or other revenues be generated when patients enter homecare stage?</t>
  </si>
  <si>
    <t>Will this increase the agencies flexibility?</t>
  </si>
  <si>
    <t>Linked</t>
  </si>
  <si>
    <t>Revenue - Acute</t>
  </si>
  <si>
    <t>Rate</t>
  </si>
  <si>
    <t>Mix %</t>
  </si>
  <si>
    <t xml:space="preserve">MCR IP </t>
  </si>
  <si>
    <t>MCD IP</t>
  </si>
  <si>
    <t>PVT INS.</t>
  </si>
  <si>
    <t>Indigent</t>
  </si>
  <si>
    <t>Other</t>
  </si>
  <si>
    <t>Total IP</t>
  </si>
  <si>
    <t>Allowance/Bad Debt</t>
  </si>
  <si>
    <t>Revenue - Residential</t>
  </si>
  <si>
    <t xml:space="preserve">MCR </t>
  </si>
  <si>
    <t>MCD</t>
  </si>
  <si>
    <t>Room and Board</t>
  </si>
  <si>
    <t>Grand Total</t>
  </si>
  <si>
    <t>Days</t>
  </si>
  <si>
    <t xml:space="preserve">Annual </t>
  </si>
  <si>
    <t>8am to 8pm</t>
  </si>
  <si>
    <t>Salary</t>
  </si>
  <si>
    <t>Manager</t>
  </si>
  <si>
    <t>RN</t>
  </si>
  <si>
    <t>LPN</t>
  </si>
  <si>
    <t>CNA</t>
  </si>
  <si>
    <t>SW</t>
  </si>
  <si>
    <t>Chaplain</t>
  </si>
  <si>
    <t>Ward Clerk</t>
  </si>
  <si>
    <t>Physician</t>
  </si>
  <si>
    <t>Shift Staffing Cost</t>
  </si>
  <si>
    <t>8pm to 8am</t>
  </si>
  <si>
    <t>Total Salaries &amp; Wages</t>
  </si>
  <si>
    <t>Benefits</t>
  </si>
  <si>
    <t>Per Diem Labor</t>
  </si>
  <si>
    <t>FICA</t>
  </si>
  <si>
    <t>Total Per Diem</t>
  </si>
  <si>
    <t>Total Staffing Costs</t>
  </si>
  <si>
    <t>NOTES:</t>
  </si>
  <si>
    <t>Patient Related Expenses</t>
  </si>
  <si>
    <t>Standard</t>
  </si>
  <si>
    <t>Acute</t>
  </si>
  <si>
    <t>Cost</t>
  </si>
  <si>
    <t>Medications</t>
  </si>
  <si>
    <t>Therapies</t>
  </si>
  <si>
    <t>Lab</t>
  </si>
  <si>
    <t>DME</t>
  </si>
  <si>
    <t>Linen</t>
  </si>
  <si>
    <t>Ambulance</t>
  </si>
  <si>
    <t>spare</t>
  </si>
  <si>
    <t>Total Patient Related</t>
  </si>
  <si>
    <t>Residential</t>
  </si>
  <si>
    <t>Non-Staffing Related Operational Costs - Inpatient Unit</t>
  </si>
  <si>
    <t>Measures</t>
  </si>
  <si>
    <t>Square Footage</t>
  </si>
  <si>
    <t>Depreciation</t>
  </si>
  <si>
    <t>Additional Insurance</t>
  </si>
  <si>
    <t>Number of FTEs required to staff 1 position for the entire year.</t>
  </si>
  <si>
    <t>Hours</t>
  </si>
  <si>
    <t>Shifts</t>
  </si>
  <si>
    <t xml:space="preserve">Per </t>
  </si>
  <si>
    <t>in</t>
  </si>
  <si>
    <t xml:space="preserve">in </t>
  </si>
  <si>
    <t>Shift</t>
  </si>
  <si>
    <t>Day</t>
  </si>
  <si>
    <t>Year</t>
  </si>
  <si>
    <t>FTEs</t>
  </si>
  <si>
    <t>per</t>
  </si>
  <si>
    <t>Needed</t>
  </si>
  <si>
    <t>Staff</t>
  </si>
  <si>
    <t>Round to whole person or work short and use part-time help.</t>
  </si>
  <si>
    <t>Maximum</t>
  </si>
  <si>
    <t>Annual</t>
  </si>
  <si>
    <t>Less</t>
  </si>
  <si>
    <t>Covered</t>
  </si>
  <si>
    <t>Education</t>
  </si>
  <si>
    <t>Per</t>
  </si>
  <si>
    <t xml:space="preserve">by </t>
  </si>
  <si>
    <t>Vacation</t>
  </si>
  <si>
    <t>Holidays</t>
  </si>
  <si>
    <t>Sick</t>
  </si>
  <si>
    <t>Employee</t>
  </si>
  <si>
    <t>Per Diem</t>
  </si>
  <si>
    <t>Vacation-some employee have more than 12 days of vacation. Personal days are included.</t>
  </si>
  <si>
    <t>Sick-Not all employees use entire sick time.</t>
  </si>
  <si>
    <t>Year 2</t>
  </si>
  <si>
    <t>Rate Change % over Base Year</t>
  </si>
  <si>
    <t>Community Support</t>
  </si>
  <si>
    <t>FTE SUMMARY:</t>
  </si>
  <si>
    <t>SALARY SUMMARY:</t>
  </si>
  <si>
    <t>Physician visits are normally performed between 8am to 9pm daily.</t>
  </si>
  <si>
    <t>Assumptions</t>
  </si>
  <si>
    <t>Sources of Funds</t>
  </si>
  <si>
    <t>Cash from Reserves</t>
  </si>
  <si>
    <t>Loan Amount</t>
  </si>
  <si>
    <t>Interest Rate</t>
  </si>
  <si>
    <t>Number of Payments</t>
  </si>
  <si>
    <t>Monthly Payment</t>
  </si>
  <si>
    <t>Total Payments</t>
  </si>
  <si>
    <t>Total Interest</t>
  </si>
  <si>
    <t>Personnel Cost are expected to increase 3% per year</t>
  </si>
  <si>
    <t>Deprecation</t>
  </si>
  <si>
    <t>CON</t>
  </si>
  <si>
    <t>Equipment</t>
  </si>
  <si>
    <t>Building</t>
  </si>
  <si>
    <t>Life</t>
  </si>
  <si>
    <t>Physician Revenue Offset</t>
  </si>
  <si>
    <t>Contribution % without Support</t>
  </si>
  <si>
    <t>The purpose of this unit is to provide predominantly Acute or Hospice Inpatient Level of Care</t>
  </si>
  <si>
    <t>Community Support (pledges &amp; donations during capital campaign)</t>
  </si>
  <si>
    <t>Estimated annual inflation used to project costs: 3%</t>
  </si>
  <si>
    <t>Dietary (pt. day)*</t>
  </si>
  <si>
    <t>Amount</t>
  </si>
  <si>
    <t>Salvage</t>
  </si>
  <si>
    <t>Factor</t>
  </si>
  <si>
    <t>Unit Staffing Information</t>
  </si>
  <si>
    <t>Loan Calculation</t>
  </si>
  <si>
    <t>*</t>
  </si>
  <si>
    <t>Not impacted by inflation in the relevant range.</t>
  </si>
  <si>
    <t>Computer (PCs, lines, software)</t>
  </si>
  <si>
    <t>Utilization Information</t>
  </si>
  <si>
    <t>Medicare</t>
  </si>
  <si>
    <t>Medicaid</t>
  </si>
  <si>
    <t>Utilization</t>
  </si>
  <si>
    <t>Inpatient Days</t>
  </si>
  <si>
    <t>Average IP Days:</t>
  </si>
  <si>
    <t>b.</t>
  </si>
  <si>
    <t>Average Length</t>
  </si>
  <si>
    <t>of Stay</t>
  </si>
  <si>
    <t>c.</t>
  </si>
  <si>
    <t xml:space="preserve">Beds and </t>
  </si>
  <si>
    <t>Occupancy</t>
  </si>
  <si>
    <t>Name of Hospice:</t>
  </si>
  <si>
    <t>CON File Number:</t>
  </si>
  <si>
    <t>Included on all pages are Section and Page Number Areas for input</t>
  </si>
  <si>
    <t>Name:</t>
  </si>
  <si>
    <t xml:space="preserve">CON File Number: </t>
  </si>
  <si>
    <t>Section:</t>
  </si>
  <si>
    <t>Page:</t>
  </si>
  <si>
    <t>O</t>
  </si>
  <si>
    <t>State:</t>
  </si>
  <si>
    <t>Submission Date:</t>
  </si>
  <si>
    <t>M</t>
  </si>
  <si>
    <t>XX-XXX</t>
  </si>
  <si>
    <t>Here are some questions to think about when considering a hospice unit.</t>
  </si>
  <si>
    <t>Questions:</t>
  </si>
  <si>
    <t>Is contribution margin from costs directly related to the unit acceptable without allocated indirect costs?</t>
  </si>
  <si>
    <t>Normally, only the contribution margin is considered since normal overhead would be paid for anyway.</t>
  </si>
  <si>
    <t>Is the increased capacity to serve this level of patient needed?</t>
  </si>
  <si>
    <t>Probably not, but it will make a statement to the community that you're in it for the long haul.</t>
  </si>
  <si>
    <t>Will patients and the community benefit?</t>
  </si>
  <si>
    <t xml:space="preserve">Understand that allocated costs can be misleading due to their arbitrary nature.  </t>
  </si>
  <si>
    <t>Competitors will be able to react quicker to drastic changes in hospice if they have less "bricks and mortar"</t>
  </si>
  <si>
    <t>Approximate Break-even Information (this data is mix sensitive and without deprecation)</t>
  </si>
  <si>
    <t>Approximate Break-even Information (this data is mix sensitive and with deprecation)</t>
  </si>
  <si>
    <t>Look at indirect costs in light of entire organization.</t>
  </si>
  <si>
    <t>ADC</t>
  </si>
  <si>
    <t>Contribution Margin</t>
  </si>
  <si>
    <t xml:space="preserve"> (without Support or Depreciation)</t>
  </si>
  <si>
    <t>Average/Total</t>
  </si>
  <si>
    <t>Utilities (per sq. ft.)</t>
  </si>
  <si>
    <t>Construction Costs</t>
  </si>
  <si>
    <t>Square</t>
  </si>
  <si>
    <t>Landscaping &amp; Snow Removal</t>
  </si>
  <si>
    <t>Cost Per</t>
  </si>
  <si>
    <t>Square Foot</t>
  </si>
  <si>
    <t>Footage</t>
  </si>
  <si>
    <t>Number</t>
  </si>
  <si>
    <t>of Beds</t>
  </si>
  <si>
    <t>Estimated</t>
  </si>
  <si>
    <t>Computed</t>
  </si>
  <si>
    <t>Square Ft.</t>
  </si>
  <si>
    <t>Other (pt. day)</t>
  </si>
  <si>
    <t>Room Rental (use if renting beds)</t>
  </si>
  <si>
    <t xml:space="preserve">Projected Statement of Cash Flows - Inpatient and Residential Unit </t>
  </si>
  <si>
    <t>Beginning Cash Balance</t>
  </si>
  <si>
    <t>Cash Inflows</t>
  </si>
  <si>
    <t>Cash Outflows</t>
  </si>
  <si>
    <t>Total Acute</t>
  </si>
  <si>
    <t>Total Residential</t>
  </si>
  <si>
    <t>Total Cash Inflows</t>
  </si>
  <si>
    <t>Interest Expense</t>
  </si>
  <si>
    <t>Loan Repayment during the first few years is largely interest expense.  Thus,</t>
  </si>
  <si>
    <t xml:space="preserve">Deprecation is a non-cash item, so many decision makers like to see it </t>
  </si>
  <si>
    <t>Days in Period</t>
  </si>
  <si>
    <t>Operational Outflows</t>
  </si>
  <si>
    <t>Total Outflows</t>
  </si>
  <si>
    <t>Ending Cash Balance</t>
  </si>
  <si>
    <t>Housekeeping &amp; Janitorial (sq. ft)</t>
  </si>
  <si>
    <t>Lease of space (sq. ft)</t>
  </si>
  <si>
    <t>Building Maintenance (sq. ft.)</t>
  </si>
  <si>
    <t>Payroll is usually expensed in period.</t>
  </si>
  <si>
    <t>Receive MCR in next month</t>
  </si>
  <si>
    <t>Receive MCD in next month</t>
  </si>
  <si>
    <t>no collection</t>
  </si>
  <si>
    <t>something in between</t>
  </si>
  <si>
    <t>Usually bills are paid in next month</t>
  </si>
  <si>
    <t>Slow paying Private Ins will hurt your cash position.</t>
  </si>
  <si>
    <t>Slow paying Medicaid will hurt your cash position.</t>
  </si>
  <si>
    <t>The immediacy of payroll hurts your cash position.</t>
  </si>
  <si>
    <t>Cash-flow Assumptions</t>
  </si>
  <si>
    <t>Pvt Ins. Pays in approx. 90 days</t>
  </si>
  <si>
    <t>Hospice Inpatient CAP Calculator</t>
  </si>
  <si>
    <t>Inpatient</t>
  </si>
  <si>
    <t>According</t>
  </si>
  <si>
    <t>to this Model</t>
  </si>
  <si>
    <t>Allowable</t>
  </si>
  <si>
    <t>Expected</t>
  </si>
  <si>
    <t>Your</t>
  </si>
  <si>
    <t>Medicare Mix</t>
  </si>
  <si>
    <t>as a % of</t>
  </si>
  <si>
    <t>Patient-Days</t>
  </si>
  <si>
    <t>Hospice Aggregate CAP Calculator</t>
  </si>
  <si>
    <t>Number of</t>
  </si>
  <si>
    <t>Admissions</t>
  </si>
  <si>
    <t>Enter</t>
  </si>
  <si>
    <t>Enter Your</t>
  </si>
  <si>
    <t>the Medicare</t>
  </si>
  <si>
    <t>CAP</t>
  </si>
  <si>
    <t>(set yearly)</t>
  </si>
  <si>
    <t xml:space="preserve">Payments </t>
  </si>
  <si>
    <t>from</t>
  </si>
  <si>
    <t xml:space="preserve">Enter the </t>
  </si>
  <si>
    <t>Total Paid</t>
  </si>
  <si>
    <t>from Nov 1</t>
  </si>
  <si>
    <t>to Oct 31</t>
  </si>
  <si>
    <t>Occupancy (see Utilization Report)</t>
  </si>
  <si>
    <t>Medicare Mix of Revenue</t>
  </si>
  <si>
    <t>Bad Debt Allowance</t>
  </si>
  <si>
    <t>Indigent Care</t>
  </si>
  <si>
    <t>Benefits as a % of Salaries</t>
  </si>
  <si>
    <t>Loan of</t>
  </si>
  <si>
    <t>repaid over</t>
  </si>
  <si>
    <t xml:space="preserve">years at </t>
  </si>
  <si>
    <t>Contingency</t>
  </si>
  <si>
    <t xml:space="preserve">This is a </t>
  </si>
  <si>
    <t>Bed Inpatient Unit</t>
  </si>
  <si>
    <t>Miscellaneous and Adminstrative</t>
  </si>
  <si>
    <t>Each state has different requirements regarding the staffing of Hospice Inpatient Units.</t>
  </si>
  <si>
    <t>Some states require 1 RN for every 10 hospice patients.  Some states require 1 RN</t>
  </si>
  <si>
    <t>for every 4 hospice patients.   It is imperative that a hospice considering a unit know</t>
  </si>
  <si>
    <t xml:space="preserve">the staffing requirements. </t>
  </si>
  <si>
    <t>Number of Beds Proposed:</t>
  </si>
  <si>
    <t>The difference can be significant. Normally the focus is on RNs, but it can be include all nursing.</t>
  </si>
  <si>
    <t>Minimum Number of RNs* Required by Your State:</t>
  </si>
  <si>
    <t xml:space="preserve">Number of Beds for Each RN* </t>
  </si>
  <si>
    <t>Here is a quick calculator for RNs*:</t>
  </si>
  <si>
    <t>*  NOTE:  The requirements may be broader than just RNs and may include LPNs and CNAs.</t>
  </si>
  <si>
    <t xml:space="preserve">   </t>
  </si>
  <si>
    <t>(This calculation is based on taking the number of beds from this tool, dividing the number by the requirements and multiplying the number by the number of FTEs needed to fill a position 24/7)</t>
  </si>
  <si>
    <t>Construction Costs and Depreciation</t>
  </si>
  <si>
    <t>On-going community support used in the model averages</t>
  </si>
  <si>
    <t>per year.</t>
  </si>
  <si>
    <t>Version:</t>
  </si>
  <si>
    <t>ADC-Acute</t>
  </si>
  <si>
    <t>ADC-Residential</t>
  </si>
  <si>
    <t>ADC-Continuous Care</t>
  </si>
  <si>
    <t>Days-Acute</t>
  </si>
  <si>
    <t>Days-Residential</t>
  </si>
  <si>
    <t>Days-Continuous Care</t>
  </si>
  <si>
    <t>Continuous/Crisis Care</t>
  </si>
  <si>
    <t>Total Continuous Care</t>
  </si>
  <si>
    <t>Patient Related - Continuous/Crisis Care</t>
  </si>
  <si>
    <t>For assistance call 828-698-5885.</t>
  </si>
  <si>
    <t>This product was created by Multi-View Incorporated.  It is reserved for the exclusive use of MVI clients. Need help?  828-698-5885</t>
  </si>
  <si>
    <t xml:space="preserve"> (input on the Construction Cost &amp; Depr tab)</t>
  </si>
  <si>
    <t>FTE Computations</t>
  </si>
  <si>
    <t>in Year</t>
  </si>
  <si>
    <t>Per Staff</t>
  </si>
  <si>
    <t>12-Hour Shift Model</t>
  </si>
  <si>
    <t>8-Hour Shift Model</t>
  </si>
  <si>
    <t>FTE Computation</t>
  </si>
  <si>
    <t>24-Hour</t>
  </si>
  <si>
    <t>12-Hour</t>
  </si>
  <si>
    <t>24-Hour w/8</t>
  </si>
  <si>
    <t>8-Hour</t>
  </si>
  <si>
    <t>12-Hour Shift</t>
  </si>
  <si>
    <t>8-Hour Shift</t>
  </si>
  <si>
    <t>8am to 4pm</t>
  </si>
  <si>
    <t>4pm to 12am</t>
  </si>
  <si>
    <t>12pm to 8am</t>
  </si>
  <si>
    <t>Housekeeping</t>
  </si>
  <si>
    <t># Per Shift</t>
  </si>
  <si>
    <t>Physician is grouped in the 8pm to 8am or 4pm to 12am sections as a convenience in the model.</t>
  </si>
  <si>
    <t>Patient-Day Analysis</t>
  </si>
  <si>
    <t>Average</t>
  </si>
  <si>
    <t>Staffing Costs - Per Patient-Day</t>
  </si>
  <si>
    <t>(w/o benefits)</t>
  </si>
  <si>
    <t>(with benefits)</t>
  </si>
  <si>
    <t>Facility</t>
  </si>
  <si>
    <t>Secondary Loan</t>
  </si>
  <si>
    <t>some boards and individuals like to see the annual payment with no reduction in principle.</t>
  </si>
  <si>
    <t xml:space="preserve">reflected "below the line."  </t>
  </si>
  <si>
    <t>Oxygen</t>
  </si>
  <si>
    <t>Average Daily Census-Crisis Care/Respite</t>
  </si>
  <si>
    <t>Days of Care-Crisis Care/Respite</t>
  </si>
  <si>
    <t>Less Unpaid Care - Crisis Care/Respite</t>
  </si>
  <si>
    <t>Patient Related - Crisis Care/Respite</t>
  </si>
  <si>
    <t>Revenue - Crisis Care/Respite</t>
  </si>
  <si>
    <t>Days-Crisis Care/Respite</t>
  </si>
  <si>
    <t>ADC-Crisis Care/Respite</t>
  </si>
  <si>
    <t>Crisis Care/Respite</t>
  </si>
  <si>
    <t>Facilities/Cleaning/Other</t>
  </si>
  <si>
    <t>Borrow - Loan #1</t>
  </si>
  <si>
    <t>Borrow - Loan #2</t>
  </si>
  <si>
    <t>Net Patient Revenue</t>
  </si>
  <si>
    <t>Net Revenue</t>
  </si>
  <si>
    <t>Total Personnel Expense</t>
  </si>
  <si>
    <t>Percentage of Net Patient Revenue Analysis</t>
  </si>
  <si>
    <t>Patient Related</t>
  </si>
  <si>
    <t>Total Patient-Related Expense</t>
  </si>
  <si>
    <t>Medical Supplies</t>
  </si>
  <si>
    <t>Net Contribution with Depreciation &amp; Support</t>
  </si>
  <si>
    <t>Total Operational Expense</t>
  </si>
  <si>
    <t>Period:</t>
  </si>
  <si>
    <t>Period</t>
  </si>
  <si>
    <t>Model</t>
  </si>
  <si>
    <t>Actual</t>
  </si>
  <si>
    <t>Variance</t>
  </si>
  <si>
    <t>Location</t>
  </si>
  <si>
    <t>Dept/Disc</t>
  </si>
  <si>
    <t>Natural</t>
  </si>
  <si>
    <t>Sub</t>
  </si>
  <si>
    <t>F9 Account Parameters</t>
  </si>
  <si>
    <t>BSPEC</t>
  </si>
  <si>
    <t>Percentage of Net Patient Revenue</t>
  </si>
  <si>
    <t>Dollars</t>
  </si>
  <si>
    <t>Average Residential Days:</t>
  </si>
  <si>
    <t>Statistics by Payer</t>
  </si>
  <si>
    <t xml:space="preserve">a. </t>
  </si>
  <si>
    <t>FY-1</t>
  </si>
  <si>
    <t>Commercial</t>
  </si>
  <si>
    <t>Indigent &amp; Other</t>
  </si>
  <si>
    <t>FY-2</t>
  </si>
  <si>
    <t>FY-3</t>
  </si>
  <si>
    <t>FY-4</t>
  </si>
  <si>
    <t>FY-5</t>
  </si>
  <si>
    <t>Number of Beds:</t>
  </si>
  <si>
    <t>Residential Days</t>
  </si>
  <si>
    <t>Discharges</t>
  </si>
  <si>
    <t>Indigent &amp; Self Pay</t>
  </si>
  <si>
    <t xml:space="preserve">Inpatient </t>
  </si>
  <si>
    <t>Grand Totals</t>
  </si>
  <si>
    <t>d.</t>
  </si>
  <si>
    <t>Continuous Care/Respite</t>
  </si>
  <si>
    <t>Continuous Care/Respite Days</t>
  </si>
  <si>
    <t>Licensed Beds - Inpatient</t>
  </si>
  <si>
    <t>Licensed Beds - Residential</t>
  </si>
  <si>
    <t>Occupancy Rate</t>
  </si>
  <si>
    <t>Average CC/Respite Days:</t>
  </si>
  <si>
    <t>MODIFY THIS TEXT AS NECESSARY FOR YOUR HOSPICE'S NEEDS.</t>
  </si>
  <si>
    <t>Will the 20% Inpatient CAP be a factor?  Will the Aggregate CAP be a factor?</t>
  </si>
  <si>
    <t>YTD December</t>
  </si>
  <si>
    <t># of Visits</t>
  </si>
  <si>
    <t>Avg</t>
  </si>
  <si>
    <t>Per Day</t>
  </si>
  <si>
    <t>Physician Revenue</t>
  </si>
  <si>
    <t>Total Physician Revenue</t>
  </si>
  <si>
    <t>by Medicare</t>
  </si>
  <si>
    <t>(use an annual amount)</t>
  </si>
  <si>
    <t>(no inflation factor included in this line, use an annual amount)</t>
  </si>
  <si>
    <t>Telephone (pt. day)</t>
  </si>
  <si>
    <t>(based on square foot)</t>
  </si>
  <si>
    <t>(based on patient-day)</t>
  </si>
  <si>
    <t>Bio Hazardous</t>
  </si>
  <si>
    <t>Dietary</t>
  </si>
  <si>
    <t>Report Title:</t>
  </si>
  <si>
    <t xml:space="preserve">Projected Statement of Income </t>
  </si>
  <si>
    <t>Food</t>
  </si>
  <si>
    <t>Imaging</t>
  </si>
  <si>
    <t>Operational Costs</t>
  </si>
  <si>
    <t>Direct Expense</t>
  </si>
  <si>
    <t>Net Income of the Unit</t>
  </si>
  <si>
    <t>Operational Margin</t>
  </si>
  <si>
    <t>IPU Management Model</t>
  </si>
  <si>
    <t>Year 1</t>
  </si>
  <si>
    <t>Year 3</t>
  </si>
  <si>
    <t>Year 4</t>
  </si>
  <si>
    <t>Year 5</t>
  </si>
  <si>
    <t>GA</t>
  </si>
  <si>
    <t>3/30/17</t>
  </si>
  <si>
    <t>Inpatient Unit &amp; Continuous Care Management and Planning Model</t>
  </si>
  <si>
    <t>(National Average is 22%)</t>
  </si>
  <si>
    <t>Reimbursement Rates are expected to increase 1% per year</t>
  </si>
  <si>
    <t>Sunny Day Hospice</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</si>
</sst>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_(* #,##0.0000_);_(* \(#,##0.0000\);_(* &quot;-&quot;??_);_(@_)"/>
    <numFmt numFmtId="169" formatCode="0.0000"/>
    <numFmt numFmtId="170" formatCode="0.000"/>
    <numFmt numFmtId="171" formatCode="0.0"/>
    <numFmt numFmtId="172" formatCode="0.000000"/>
    <numFmt numFmtId="173" formatCode="0.00000"/>
    <numFmt numFmtId="174" formatCode="_(&quot;$&quot;* #,##0.0_);_(&quot;$&quot;* \(#,##0.0\);_(&quot;$&quot;* &quot;-&quot;??_);_(@_)"/>
    <numFmt numFmtId="175" formatCode="_(&quot;$&quot;* #,##0_);_(&quot;$&quot;* \(#,##0\);_(&quot;$&quot;* &quot;-&quot;??_);_(@_)"/>
    <numFmt numFmtId="176" formatCode="0.0000000"/>
    <numFmt numFmtId="177" formatCode="_(* #,##0.0_);_(* \(#,##0.0\);_(* &quot;-&quot;?_);_(@_)"/>
    <numFmt numFmtId="178" formatCode="&quot;$&quot;#,##0.0_);[Red]\(&quot;$&quot;#,##0.0\)"/>
    <numFmt numFmtId="179" formatCode="0.00000000"/>
    <numFmt numFmtId="180" formatCode="&quot;Yes&quot;;&quot;Yes&quot;;&quot;No&quot;"/>
    <numFmt numFmtId="181" formatCode="&quot;True&quot;;&quot;True&quot;;&quot;False&quot;"/>
    <numFmt numFmtId="182" formatCode="&quot;On&quot;;&quot;On&quot;;&quot;Off&quot;"/>
    <numFmt numFmtId="183" formatCode="[$€-2]\ #,##0.00_);[Red]\([$€-2]\ #,##0.00\)"/>
    <numFmt numFmtId="184" formatCode="0.000000000000000%"/>
  </numFmts>
  <fonts count="86">
    <font>
      <sz val="10"/>
      <name val="Arial"/>
      <family val="0"/>
    </font>
    <font>
      <b/>
      <sz val="10"/>
      <name val="Arial"/>
      <family val="0"/>
    </font>
    <font>
      <i/>
      <sz val="10"/>
      <name val="Arial"/>
      <family val="0"/>
    </font>
    <font>
      <b/>
      <i/>
      <sz val="10"/>
      <name val="Arial"/>
      <family val="0"/>
    </font>
    <font>
      <sz val="8"/>
      <name val="Arial"/>
      <family val="2"/>
    </font>
    <font>
      <b/>
      <sz val="8"/>
      <name val="Arial"/>
      <family val="2"/>
    </font>
    <font>
      <i/>
      <sz val="8"/>
      <name val="Arial"/>
      <family val="2"/>
    </font>
    <font>
      <sz val="8"/>
      <color indexed="10"/>
      <name val="Arial"/>
      <family val="2"/>
    </font>
    <font>
      <sz val="8"/>
      <name val="Tahoma"/>
      <family val="2"/>
    </font>
    <font>
      <b/>
      <sz val="14"/>
      <name val="Arial"/>
      <family val="2"/>
    </font>
    <font>
      <b/>
      <sz val="20"/>
      <color indexed="12"/>
      <name val="Arial"/>
      <family val="2"/>
    </font>
    <font>
      <sz val="20"/>
      <name val="Arial"/>
      <family val="2"/>
    </font>
    <font>
      <b/>
      <sz val="20"/>
      <name val="Arial"/>
      <family val="2"/>
    </font>
    <font>
      <b/>
      <sz val="12"/>
      <color indexed="12"/>
      <name val="Arial"/>
      <family val="2"/>
    </font>
    <font>
      <b/>
      <i/>
      <sz val="10"/>
      <color indexed="10"/>
      <name val="Arial"/>
      <family val="2"/>
    </font>
    <font>
      <sz val="6"/>
      <name val="Arial"/>
      <family val="2"/>
    </font>
    <font>
      <b/>
      <sz val="14"/>
      <color indexed="56"/>
      <name val="Arial"/>
      <family val="2"/>
    </font>
    <font>
      <sz val="12"/>
      <name val="Arial"/>
      <family val="2"/>
    </font>
    <font>
      <b/>
      <u val="single"/>
      <sz val="12"/>
      <name val="Arial"/>
      <family val="2"/>
    </font>
    <font>
      <b/>
      <sz val="10"/>
      <color indexed="12"/>
      <name val="Arial"/>
      <family val="2"/>
    </font>
    <font>
      <b/>
      <u val="single"/>
      <sz val="8"/>
      <name val="Arial"/>
      <family val="2"/>
    </font>
    <font>
      <i/>
      <sz val="8"/>
      <color indexed="10"/>
      <name val="Arial"/>
      <family val="2"/>
    </font>
    <font>
      <b/>
      <sz val="12"/>
      <name val="Arial"/>
      <family val="2"/>
    </font>
    <font>
      <sz val="10"/>
      <color indexed="10"/>
      <name val="Arial"/>
      <family val="2"/>
    </font>
    <font>
      <b/>
      <sz val="10"/>
      <color indexed="10"/>
      <name val="Arial"/>
      <family val="2"/>
    </font>
    <font>
      <b/>
      <sz val="8"/>
      <name val="Tahoma"/>
      <family val="2"/>
    </font>
    <font>
      <b/>
      <u val="single"/>
      <sz val="10"/>
      <name val="Arial"/>
      <family val="2"/>
    </font>
    <font>
      <i/>
      <sz val="10"/>
      <color indexed="56"/>
      <name val="Arial"/>
      <family val="2"/>
    </font>
    <font>
      <b/>
      <i/>
      <sz val="10"/>
      <color indexed="56"/>
      <name val="Arial"/>
      <family val="2"/>
    </font>
    <font>
      <sz val="10"/>
      <color indexed="9"/>
      <name val="Arial"/>
      <family val="2"/>
    </font>
    <font>
      <i/>
      <sz val="6"/>
      <color indexed="10"/>
      <name val="Arial"/>
      <family val="2"/>
    </font>
    <font>
      <sz val="8"/>
      <color indexed="56"/>
      <name val="Arial"/>
      <family val="2"/>
    </font>
    <font>
      <i/>
      <sz val="8"/>
      <color indexed="56"/>
      <name val="Arial"/>
      <family val="2"/>
    </font>
    <font>
      <i/>
      <sz val="6"/>
      <color indexed="56"/>
      <name val="Arial"/>
      <family val="2"/>
    </font>
    <font>
      <b/>
      <u val="single"/>
      <sz val="10"/>
      <color indexed="56"/>
      <name val="Arial"/>
      <family val="2"/>
    </font>
    <font>
      <b/>
      <u val="single"/>
      <sz val="8"/>
      <color indexed="56"/>
      <name val="Arial"/>
      <family val="2"/>
    </font>
    <font>
      <b/>
      <sz val="8"/>
      <color indexed="56"/>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8"/>
      <color indexed="62"/>
      <name val="Arial"/>
      <family val="2"/>
    </font>
    <font>
      <i/>
      <sz val="8"/>
      <color indexed="54"/>
      <name val="Arial"/>
      <family val="2"/>
    </font>
    <font>
      <i/>
      <sz val="8"/>
      <color indexed="57"/>
      <name val="Arial"/>
      <family val="2"/>
    </font>
    <font>
      <i/>
      <sz val="10"/>
      <color indexed="8"/>
      <name val="Arial"/>
      <family val="0"/>
    </font>
    <font>
      <u val="single"/>
      <sz val="11"/>
      <color indexed="10"/>
      <name val="Calibri"/>
      <family val="0"/>
    </font>
    <font>
      <b/>
      <u val="single"/>
      <sz val="8"/>
      <color indexed="8"/>
      <name val="Arial"/>
      <family val="0"/>
    </font>
    <font>
      <sz val="8"/>
      <color indexed="8"/>
      <name val="Arial"/>
      <family val="0"/>
    </font>
    <font>
      <sz val="10"/>
      <color indexed="8"/>
      <name val="Arial"/>
      <family val="0"/>
    </font>
    <font>
      <b/>
      <u val="single"/>
      <sz val="8"/>
      <color indexed="10"/>
      <name val="Arial"/>
      <family val="0"/>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3"/>
      <name val="Arial"/>
      <family val="2"/>
    </font>
    <font>
      <i/>
      <sz val="8"/>
      <color theme="7" tint="-0.24997000396251678"/>
      <name val="Arial"/>
      <family val="2"/>
    </font>
    <font>
      <i/>
      <sz val="8"/>
      <color rgb="FFFF0000"/>
      <name val="Arial"/>
      <family val="2"/>
    </font>
    <font>
      <i/>
      <sz val="8"/>
      <color theme="4" tint="-0.4999699890613556"/>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lightUp"/>
    </fill>
    <fill>
      <patternFill patternType="solid">
        <fgColor indexed="26"/>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44"/>
        <bgColor indexed="64"/>
      </patternFill>
    </fill>
    <fill>
      <patternFill patternType="solid">
        <fgColor rgb="FFFFFF9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38"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37"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291">
    <xf numFmtId="0" fontId="0" fillId="0" borderId="0" xfId="0" applyAlignment="1">
      <alignment/>
    </xf>
    <xf numFmtId="0" fontId="4" fillId="0" borderId="0" xfId="0" applyFont="1" applyAlignment="1">
      <alignment/>
    </xf>
    <xf numFmtId="0" fontId="1" fillId="0" borderId="0" xfId="0" applyFont="1" applyAlignment="1">
      <alignment/>
    </xf>
    <xf numFmtId="0" fontId="9" fillId="0" borderId="0" xfId="0" applyFont="1" applyAlignment="1">
      <alignment/>
    </xf>
    <xf numFmtId="9" fontId="0" fillId="0" borderId="0" xfId="0" applyNumberFormat="1" applyAlignment="1">
      <alignment/>
    </xf>
    <xf numFmtId="165" fontId="0" fillId="0" borderId="0" xfId="42" applyNumberFormat="1" applyFont="1" applyAlignment="1">
      <alignment/>
    </xf>
    <xf numFmtId="0" fontId="15" fillId="0" borderId="10" xfId="0" applyFont="1" applyBorder="1" applyAlignment="1">
      <alignment/>
    </xf>
    <xf numFmtId="0" fontId="15" fillId="0" borderId="11" xfId="0" applyFont="1" applyBorder="1" applyAlignment="1">
      <alignment/>
    </xf>
    <xf numFmtId="0" fontId="0" fillId="0" borderId="12" xfId="0" applyBorder="1" applyAlignment="1">
      <alignment/>
    </xf>
    <xf numFmtId="0" fontId="15" fillId="0" borderId="10" xfId="0" applyFont="1" applyBorder="1" applyAlignment="1">
      <alignment horizontal="center"/>
    </xf>
    <xf numFmtId="0" fontId="15" fillId="0" borderId="13" xfId="0" applyFont="1" applyBorder="1" applyAlignment="1">
      <alignment horizontal="center"/>
    </xf>
    <xf numFmtId="0" fontId="15" fillId="33" borderId="10" xfId="0" applyFont="1" applyFill="1" applyBorder="1" applyAlignment="1" applyProtection="1">
      <alignment/>
      <protection locked="0"/>
    </xf>
    <xf numFmtId="0" fontId="15" fillId="33" borderId="10" xfId="0" applyFont="1" applyFill="1" applyBorder="1" applyAlignment="1" applyProtection="1">
      <alignment horizontal="left"/>
      <protection locked="0"/>
    </xf>
    <xf numFmtId="0" fontId="16" fillId="0" borderId="0" xfId="0" applyFont="1" applyAlignment="1">
      <alignment/>
    </xf>
    <xf numFmtId="0" fontId="17" fillId="0" borderId="0" xfId="0" applyFont="1" applyAlignment="1">
      <alignment/>
    </xf>
    <xf numFmtId="0" fontId="18" fillId="0" borderId="0" xfId="0" applyFont="1" applyAlignment="1">
      <alignment/>
    </xf>
    <xf numFmtId="0" fontId="6" fillId="0" borderId="0" xfId="0" applyFont="1" applyAlignment="1">
      <alignment/>
    </xf>
    <xf numFmtId="0" fontId="17" fillId="0" borderId="0" xfId="0" applyFont="1" applyAlignment="1" applyProtection="1">
      <alignment/>
      <protection locked="0"/>
    </xf>
    <xf numFmtId="0" fontId="4" fillId="0" borderId="0" xfId="0" applyFont="1" applyAlignment="1" applyProtection="1">
      <alignment/>
      <protection locked="0"/>
    </xf>
    <xf numFmtId="0" fontId="0" fillId="0" borderId="0" xfId="0" applyAlignment="1" applyProtection="1">
      <alignment/>
      <protection locked="0"/>
    </xf>
    <xf numFmtId="0" fontId="6" fillId="0" borderId="0" xfId="0" applyFont="1" applyAlignment="1" applyProtection="1">
      <alignment/>
      <protection locked="0"/>
    </xf>
    <xf numFmtId="9" fontId="1" fillId="0" borderId="0" xfId="0" applyNumberFormat="1" applyFont="1" applyAlignment="1">
      <alignment horizontal="left"/>
    </xf>
    <xf numFmtId="166" fontId="1" fillId="0" borderId="0" xfId="59" applyNumberFormat="1" applyFont="1" applyAlignment="1">
      <alignment horizontal="left"/>
    </xf>
    <xf numFmtId="0" fontId="3" fillId="0" borderId="0" xfId="0" applyFont="1" applyAlignment="1">
      <alignment/>
    </xf>
    <xf numFmtId="175" fontId="1" fillId="0" borderId="0" xfId="44" applyNumberFormat="1" applyFont="1" applyAlignment="1">
      <alignment/>
    </xf>
    <xf numFmtId="0" fontId="1" fillId="0" borderId="0" xfId="0" applyFont="1" applyAlignment="1">
      <alignment horizontal="center"/>
    </xf>
    <xf numFmtId="0" fontId="24" fillId="0" borderId="0" xfId="0" applyFont="1" applyAlignment="1">
      <alignment/>
    </xf>
    <xf numFmtId="165" fontId="1" fillId="0" borderId="0" xfId="42" applyNumberFormat="1" applyFont="1" applyAlignment="1">
      <alignment/>
    </xf>
    <xf numFmtId="44" fontId="1" fillId="0" borderId="0" xfId="44" applyFont="1" applyAlignment="1">
      <alignment/>
    </xf>
    <xf numFmtId="165" fontId="4" fillId="0" borderId="0" xfId="42" applyNumberFormat="1" applyFont="1" applyAlignment="1" applyProtection="1">
      <alignment/>
      <protection hidden="1"/>
    </xf>
    <xf numFmtId="165" fontId="4" fillId="0" borderId="0" xfId="42" applyNumberFormat="1" applyFont="1" applyBorder="1" applyAlignment="1" applyProtection="1">
      <alignment/>
      <protection hidden="1"/>
    </xf>
    <xf numFmtId="165" fontId="4" fillId="0" borderId="14" xfId="42" applyNumberFormat="1" applyFont="1" applyBorder="1" applyAlignment="1" applyProtection="1">
      <alignment/>
      <protection hidden="1"/>
    </xf>
    <xf numFmtId="165" fontId="4" fillId="0" borderId="15" xfId="42" applyNumberFormat="1" applyFont="1" applyBorder="1" applyAlignment="1" applyProtection="1">
      <alignment/>
      <protection hidden="1"/>
    </xf>
    <xf numFmtId="165" fontId="4" fillId="0" borderId="16" xfId="42" applyNumberFormat="1" applyFont="1" applyBorder="1" applyAlignment="1" applyProtection="1">
      <alignment/>
      <protection hidden="1"/>
    </xf>
    <xf numFmtId="0" fontId="4" fillId="0" borderId="0" xfId="0" applyFont="1" applyAlignment="1" applyProtection="1">
      <alignment/>
      <protection hidden="1"/>
    </xf>
    <xf numFmtId="0" fontId="5" fillId="0" borderId="17" xfId="0" applyFont="1" applyBorder="1" applyAlignment="1" applyProtection="1">
      <alignment horizontal="center"/>
      <protection hidden="1"/>
    </xf>
    <xf numFmtId="166" fontId="4" fillId="0" borderId="0" xfId="59" applyNumberFormat="1" applyFont="1" applyAlignment="1" applyProtection="1">
      <alignment/>
      <protection hidden="1"/>
    </xf>
    <xf numFmtId="9" fontId="4" fillId="0" borderId="0" xfId="59" applyFont="1" applyAlignment="1" applyProtection="1">
      <alignment/>
      <protection hidden="1"/>
    </xf>
    <xf numFmtId="2" fontId="4" fillId="0" borderId="0" xfId="0" applyNumberFormat="1" applyFont="1" applyAlignment="1" applyProtection="1">
      <alignment/>
      <protection hidden="1"/>
    </xf>
    <xf numFmtId="171" fontId="4" fillId="0" borderId="0" xfId="0" applyNumberFormat="1" applyFont="1" applyAlignment="1" applyProtection="1">
      <alignment/>
      <protection hidden="1"/>
    </xf>
    <xf numFmtId="165" fontId="4" fillId="0" borderId="0" xfId="0" applyNumberFormat="1" applyFont="1" applyAlignment="1" applyProtection="1">
      <alignment/>
      <protection hidden="1"/>
    </xf>
    <xf numFmtId="0" fontId="1" fillId="0" borderId="0" xfId="0" applyFont="1" applyAlignment="1" applyProtection="1">
      <alignment/>
      <protection hidden="1"/>
    </xf>
    <xf numFmtId="0" fontId="0" fillId="0" borderId="0" xfId="0" applyAlignment="1" applyProtection="1">
      <alignment/>
      <protection hidden="1"/>
    </xf>
    <xf numFmtId="0" fontId="15" fillId="0" borderId="10" xfId="0" applyFont="1" applyBorder="1" applyAlignment="1" applyProtection="1">
      <alignment/>
      <protection hidden="1"/>
    </xf>
    <xf numFmtId="0" fontId="15" fillId="0" borderId="11" xfId="0" applyFont="1" applyBorder="1" applyAlignment="1" applyProtection="1">
      <alignment/>
      <protection hidden="1"/>
    </xf>
    <xf numFmtId="0" fontId="0" fillId="0" borderId="12" xfId="0" applyBorder="1" applyAlignment="1" applyProtection="1">
      <alignment/>
      <protection hidden="1"/>
    </xf>
    <xf numFmtId="0" fontId="15" fillId="33" borderId="10" xfId="0" applyFont="1" applyFill="1" applyBorder="1" applyAlignment="1" applyProtection="1">
      <alignment/>
      <protection hidden="1" locked="0"/>
    </xf>
    <xf numFmtId="0" fontId="15" fillId="0" borderId="10" xfId="0" applyFont="1" applyBorder="1" applyAlignment="1" applyProtection="1">
      <alignment horizontal="center"/>
      <protection hidden="1"/>
    </xf>
    <xf numFmtId="0" fontId="15" fillId="33" borderId="10" xfId="0" applyFont="1" applyFill="1" applyBorder="1" applyAlignment="1" applyProtection="1">
      <alignment horizontal="left"/>
      <protection hidden="1" locked="0"/>
    </xf>
    <xf numFmtId="0" fontId="15" fillId="0" borderId="13" xfId="0" applyFont="1" applyBorder="1" applyAlignment="1" applyProtection="1">
      <alignment horizontal="center"/>
      <protection hidden="1"/>
    </xf>
    <xf numFmtId="0" fontId="15" fillId="0" borderId="0" xfId="0" applyFont="1" applyBorder="1" applyAlignment="1" applyProtection="1">
      <alignment horizontal="center"/>
      <protection hidden="1"/>
    </xf>
    <xf numFmtId="0" fontId="1" fillId="0" borderId="18" xfId="0" applyFont="1" applyBorder="1" applyAlignment="1" applyProtection="1">
      <alignment horizontal="center"/>
      <protection hidden="1"/>
    </xf>
    <xf numFmtId="0" fontId="1" fillId="0" borderId="19" xfId="0" applyFont="1" applyBorder="1" applyAlignment="1" applyProtection="1">
      <alignment horizontal="center"/>
      <protection hidden="1"/>
    </xf>
    <xf numFmtId="0" fontId="1" fillId="0" borderId="13" xfId="0" applyFont="1" applyBorder="1" applyAlignment="1" applyProtection="1">
      <alignment horizontal="center"/>
      <protection hidden="1"/>
    </xf>
    <xf numFmtId="0" fontId="1" fillId="0" borderId="20" xfId="0" applyFont="1" applyBorder="1" applyAlignment="1" applyProtection="1">
      <alignment horizontal="center"/>
      <protection hidden="1"/>
    </xf>
    <xf numFmtId="0" fontId="0" fillId="0" borderId="10" xfId="0" applyBorder="1" applyAlignment="1" applyProtection="1">
      <alignment/>
      <protection hidden="1"/>
    </xf>
    <xf numFmtId="0" fontId="0" fillId="34" borderId="10" xfId="0" applyFill="1" applyBorder="1" applyAlignment="1" applyProtection="1">
      <alignment/>
      <protection hidden="1"/>
    </xf>
    <xf numFmtId="165" fontId="0" fillId="0" borderId="10" xfId="42" applyNumberFormat="1" applyFont="1" applyBorder="1" applyAlignment="1" applyProtection="1">
      <alignment/>
      <protection hidden="1"/>
    </xf>
    <xf numFmtId="0" fontId="0" fillId="0" borderId="10" xfId="0" applyFill="1" applyBorder="1" applyAlignment="1" applyProtection="1">
      <alignment horizontal="center"/>
      <protection hidden="1"/>
    </xf>
    <xf numFmtId="0" fontId="30" fillId="0" borderId="0" xfId="0" applyFont="1" applyAlignment="1" applyProtection="1">
      <alignment/>
      <protection hidden="1"/>
    </xf>
    <xf numFmtId="0" fontId="22" fillId="0" borderId="0" xfId="0" applyFont="1" applyAlignment="1" applyProtection="1">
      <alignment/>
      <protection hidden="1" locked="0"/>
    </xf>
    <xf numFmtId="0" fontId="17" fillId="0" borderId="0" xfId="0" applyFont="1" applyAlignment="1" applyProtection="1">
      <alignment/>
      <protection hidden="1" locked="0"/>
    </xf>
    <xf numFmtId="0" fontId="4" fillId="0" borderId="0" xfId="0" applyFont="1" applyAlignment="1" applyProtection="1">
      <alignment/>
      <protection hidden="1" locked="0"/>
    </xf>
    <xf numFmtId="0" fontId="0" fillId="0" borderId="0" xfId="0" applyAlignment="1" applyProtection="1">
      <alignment/>
      <protection hidden="1" locked="0"/>
    </xf>
    <xf numFmtId="0" fontId="19" fillId="0" borderId="0" xfId="0" applyFont="1" applyAlignment="1" applyProtection="1">
      <alignment/>
      <protection hidden="1"/>
    </xf>
    <xf numFmtId="0" fontId="1" fillId="0" borderId="18" xfId="0" applyFont="1" applyFill="1" applyBorder="1" applyAlignment="1" applyProtection="1">
      <alignment horizontal="center"/>
      <protection hidden="1"/>
    </xf>
    <xf numFmtId="0" fontId="1" fillId="0" borderId="21" xfId="0" applyFont="1" applyBorder="1" applyAlignment="1" applyProtection="1">
      <alignment horizontal="center"/>
      <protection hidden="1"/>
    </xf>
    <xf numFmtId="0" fontId="1" fillId="0" borderId="21" xfId="0" applyFont="1" applyFill="1" applyBorder="1" applyAlignment="1" applyProtection="1">
      <alignment horizontal="center"/>
      <protection hidden="1"/>
    </xf>
    <xf numFmtId="0" fontId="1" fillId="0" borderId="13" xfId="0" applyFont="1" applyFill="1" applyBorder="1" applyAlignment="1" applyProtection="1">
      <alignment horizontal="center"/>
      <protection hidden="1"/>
    </xf>
    <xf numFmtId="171" fontId="0" fillId="0" borderId="0" xfId="0" applyNumberFormat="1" applyAlignment="1" applyProtection="1">
      <alignment horizontal="center"/>
      <protection hidden="1"/>
    </xf>
    <xf numFmtId="9" fontId="0" fillId="0" borderId="0" xfId="0" applyNumberFormat="1" applyAlignment="1" applyProtection="1">
      <alignment/>
      <protection hidden="1"/>
    </xf>
    <xf numFmtId="16" fontId="1" fillId="0" borderId="21" xfId="0" applyNumberFormat="1" applyFont="1" applyFill="1" applyBorder="1" applyAlignment="1" applyProtection="1">
      <alignment horizontal="center"/>
      <protection hidden="1"/>
    </xf>
    <xf numFmtId="165" fontId="0" fillId="0" borderId="0" xfId="42" applyNumberFormat="1" applyFont="1" applyAlignment="1" applyProtection="1">
      <alignment horizontal="left" indent="2"/>
      <protection hidden="1"/>
    </xf>
    <xf numFmtId="0" fontId="1" fillId="0" borderId="22" xfId="0" applyFont="1" applyBorder="1" applyAlignment="1" applyProtection="1">
      <alignment horizontal="center"/>
      <protection hidden="1"/>
    </xf>
    <xf numFmtId="0" fontId="1" fillId="0" borderId="14" xfId="0" applyFont="1" applyBorder="1" applyAlignment="1" applyProtection="1">
      <alignment horizontal="center"/>
      <protection hidden="1"/>
    </xf>
    <xf numFmtId="0" fontId="1" fillId="0" borderId="23" xfId="0" applyFont="1" applyBorder="1" applyAlignment="1" applyProtection="1">
      <alignment horizontal="center"/>
      <protection hidden="1"/>
    </xf>
    <xf numFmtId="0" fontId="1" fillId="0" borderId="17" xfId="0" applyFont="1" applyBorder="1" applyAlignment="1" applyProtection="1">
      <alignment horizontal="center"/>
      <protection hidden="1"/>
    </xf>
    <xf numFmtId="0" fontId="0" fillId="0" borderId="10" xfId="0" applyBorder="1" applyAlignment="1" applyProtection="1">
      <alignment horizontal="center"/>
      <protection hidden="1"/>
    </xf>
    <xf numFmtId="6" fontId="0" fillId="0" borderId="0" xfId="0" applyNumberFormat="1" applyAlignment="1" applyProtection="1">
      <alignment/>
      <protection hidden="1"/>
    </xf>
    <xf numFmtId="165" fontId="0" fillId="0" borderId="0" xfId="42" applyNumberFormat="1" applyFont="1" applyFill="1" applyAlignment="1" applyProtection="1">
      <alignment/>
      <protection hidden="1"/>
    </xf>
    <xf numFmtId="6" fontId="0" fillId="0" borderId="24" xfId="0" applyNumberFormat="1" applyBorder="1" applyAlignment="1" applyProtection="1">
      <alignment/>
      <protection hidden="1"/>
    </xf>
    <xf numFmtId="49" fontId="0" fillId="33" borderId="10" xfId="0" applyNumberFormat="1" applyFill="1" applyBorder="1" applyAlignment="1" applyProtection="1">
      <alignment/>
      <protection hidden="1" locked="0"/>
    </xf>
    <xf numFmtId="0" fontId="14" fillId="0" borderId="0" xfId="0" applyFont="1" applyAlignment="1" applyProtection="1">
      <alignment/>
      <protection hidden="1"/>
    </xf>
    <xf numFmtId="0" fontId="28" fillId="0" borderId="0" xfId="0" applyFont="1" applyAlignment="1" applyProtection="1">
      <alignment horizontal="center"/>
      <protection hidden="1"/>
    </xf>
    <xf numFmtId="0" fontId="29" fillId="0" borderId="0" xfId="0" applyFont="1" applyAlignment="1" applyProtection="1">
      <alignment/>
      <protection hidden="1"/>
    </xf>
    <xf numFmtId="0" fontId="5" fillId="0" borderId="0" xfId="0" applyFont="1" applyAlignment="1" applyProtection="1">
      <alignment/>
      <protection hidden="1"/>
    </xf>
    <xf numFmtId="0" fontId="5" fillId="0" borderId="0" xfId="0" applyFont="1" applyAlignment="1" applyProtection="1">
      <alignment horizontal="center"/>
      <protection hidden="1"/>
    </xf>
    <xf numFmtId="164" fontId="4" fillId="0" borderId="0" xfId="42" applyNumberFormat="1" applyFont="1" applyAlignment="1" applyProtection="1">
      <alignment/>
      <protection hidden="1"/>
    </xf>
    <xf numFmtId="165" fontId="4" fillId="35" borderId="0" xfId="42" applyNumberFormat="1" applyFont="1" applyFill="1" applyAlignment="1" applyProtection="1">
      <alignment/>
      <protection hidden="1" locked="0"/>
    </xf>
    <xf numFmtId="0" fontId="6" fillId="0" borderId="0" xfId="0" applyFont="1" applyAlignment="1" applyProtection="1">
      <alignment/>
      <protection hidden="1"/>
    </xf>
    <xf numFmtId="165" fontId="4" fillId="33" borderId="0" xfId="42" applyNumberFormat="1" applyFont="1" applyFill="1" applyAlignment="1" applyProtection="1">
      <alignment/>
      <protection hidden="1" locked="0"/>
    </xf>
    <xf numFmtId="0" fontId="6" fillId="0" borderId="0" xfId="0" applyFont="1" applyAlignment="1" applyProtection="1">
      <alignment/>
      <protection hidden="1"/>
    </xf>
    <xf numFmtId="165" fontId="15" fillId="0" borderId="0" xfId="42" applyNumberFormat="1" applyFont="1" applyAlignment="1" applyProtection="1">
      <alignment/>
      <protection hidden="1"/>
    </xf>
    <xf numFmtId="0" fontId="15" fillId="0" borderId="0" xfId="0" applyFont="1" applyAlignment="1" applyProtection="1">
      <alignment/>
      <protection hidden="1"/>
    </xf>
    <xf numFmtId="2" fontId="21" fillId="0" borderId="0" xfId="0" applyNumberFormat="1" applyFont="1" applyFill="1" applyAlignment="1" applyProtection="1">
      <alignment/>
      <protection hidden="1"/>
    </xf>
    <xf numFmtId="17" fontId="5" fillId="0" borderId="17" xfId="0" applyNumberFormat="1" applyFont="1" applyFill="1" applyBorder="1" applyAlignment="1" applyProtection="1">
      <alignment horizontal="center"/>
      <protection hidden="1"/>
    </xf>
    <xf numFmtId="165" fontId="4" fillId="0" borderId="0" xfId="42" applyNumberFormat="1" applyFont="1" applyAlignment="1" applyProtection="1">
      <alignment horizontal="center"/>
      <protection hidden="1"/>
    </xf>
    <xf numFmtId="0" fontId="5" fillId="36" borderId="0" xfId="0" applyFont="1" applyFill="1" applyAlignment="1" applyProtection="1">
      <alignment/>
      <protection hidden="1"/>
    </xf>
    <xf numFmtId="0" fontId="4" fillId="36" borderId="0" xfId="0" applyFont="1" applyFill="1" applyAlignment="1" applyProtection="1">
      <alignment/>
      <protection hidden="1"/>
    </xf>
    <xf numFmtId="0" fontId="4" fillId="37" borderId="0" xfId="0" applyFont="1" applyFill="1" applyAlignment="1" applyProtection="1">
      <alignment/>
      <protection hidden="1" locked="0"/>
    </xf>
    <xf numFmtId="0" fontId="4" fillId="33" borderId="0" xfId="0" applyFont="1" applyFill="1" applyAlignment="1" applyProtection="1">
      <alignment/>
      <protection hidden="1" locked="0"/>
    </xf>
    <xf numFmtId="0" fontId="21" fillId="0" borderId="0" xfId="0" applyFont="1" applyAlignment="1" applyProtection="1">
      <alignment/>
      <protection hidden="1"/>
    </xf>
    <xf numFmtId="165" fontId="4" fillId="0" borderId="24" xfId="42" applyNumberFormat="1" applyFont="1" applyBorder="1" applyAlignment="1" applyProtection="1">
      <alignment/>
      <protection hidden="1"/>
    </xf>
    <xf numFmtId="0" fontId="5" fillId="0" borderId="0" xfId="0" applyFont="1" applyAlignment="1" applyProtection="1">
      <alignment/>
      <protection hidden="1"/>
    </xf>
    <xf numFmtId="9" fontId="4" fillId="33" borderId="0" xfId="59" applyFont="1" applyFill="1" applyAlignment="1" applyProtection="1">
      <alignment/>
      <protection hidden="1" locked="0"/>
    </xf>
    <xf numFmtId="17" fontId="5" fillId="0" borderId="17" xfId="0" applyNumberFormat="1" applyFont="1" applyBorder="1" applyAlignment="1" applyProtection="1">
      <alignment horizontal="center"/>
      <protection hidden="1"/>
    </xf>
    <xf numFmtId="0" fontId="4" fillId="34" borderId="0" xfId="0" applyFont="1" applyFill="1" applyAlignment="1" applyProtection="1">
      <alignment/>
      <protection hidden="1"/>
    </xf>
    <xf numFmtId="0" fontId="5" fillId="0" borderId="0" xfId="0" applyFont="1" applyAlignment="1" applyProtection="1">
      <alignment horizontal="center"/>
      <protection hidden="1"/>
    </xf>
    <xf numFmtId="43" fontId="4" fillId="35" borderId="0" xfId="42" applyFont="1" applyFill="1" applyAlignment="1" applyProtection="1">
      <alignment/>
      <protection hidden="1" locked="0"/>
    </xf>
    <xf numFmtId="166" fontId="4" fillId="35" borderId="0" xfId="59" applyNumberFormat="1" applyFont="1" applyFill="1" applyAlignment="1" applyProtection="1">
      <alignment/>
      <protection hidden="1" locked="0"/>
    </xf>
    <xf numFmtId="43" fontId="4" fillId="0" borderId="0" xfId="42" applyFont="1" applyAlignment="1" applyProtection="1">
      <alignment/>
      <protection hidden="1"/>
    </xf>
    <xf numFmtId="9" fontId="4" fillId="0" borderId="24" xfId="59" applyFont="1" applyBorder="1" applyAlignment="1" applyProtection="1">
      <alignment/>
      <protection hidden="1"/>
    </xf>
    <xf numFmtId="43" fontId="4" fillId="0" borderId="24" xfId="42" applyFont="1" applyBorder="1" applyAlignment="1" applyProtection="1">
      <alignment/>
      <protection hidden="1"/>
    </xf>
    <xf numFmtId="9" fontId="4" fillId="0" borderId="24" xfId="59" applyNumberFormat="1" applyFont="1" applyBorder="1" applyAlignment="1" applyProtection="1">
      <alignment/>
      <protection hidden="1"/>
    </xf>
    <xf numFmtId="165" fontId="5" fillId="0" borderId="16" xfId="42" applyNumberFormat="1" applyFont="1" applyBorder="1" applyAlignment="1" applyProtection="1">
      <alignment/>
      <protection hidden="1"/>
    </xf>
    <xf numFmtId="9" fontId="4" fillId="0" borderId="0" xfId="59" applyFont="1" applyBorder="1" applyAlignment="1" applyProtection="1">
      <alignment/>
      <protection hidden="1"/>
    </xf>
    <xf numFmtId="43" fontId="4" fillId="0" borderId="0" xfId="42" applyFont="1" applyBorder="1" applyAlignment="1" applyProtection="1">
      <alignment/>
      <protection hidden="1"/>
    </xf>
    <xf numFmtId="0" fontId="13" fillId="0" borderId="0" xfId="0" applyFont="1" applyAlignment="1" applyProtection="1">
      <alignment/>
      <protection hidden="1"/>
    </xf>
    <xf numFmtId="0" fontId="5" fillId="0" borderId="17" xfId="0" applyFont="1" applyBorder="1" applyAlignment="1" applyProtection="1">
      <alignment/>
      <protection hidden="1"/>
    </xf>
    <xf numFmtId="43" fontId="4" fillId="38" borderId="0" xfId="42" applyFont="1" applyFill="1" applyAlignment="1" applyProtection="1">
      <alignment/>
      <protection hidden="1"/>
    </xf>
    <xf numFmtId="43" fontId="4" fillId="0" borderId="0" xfId="42" applyFont="1" applyAlignment="1" applyProtection="1">
      <alignment/>
      <protection hidden="1"/>
    </xf>
    <xf numFmtId="165" fontId="4" fillId="0" borderId="17" xfId="42" applyNumberFormat="1" applyFont="1" applyBorder="1" applyAlignment="1" applyProtection="1">
      <alignment/>
      <protection hidden="1"/>
    </xf>
    <xf numFmtId="9" fontId="4" fillId="35" borderId="0" xfId="59" applyFont="1" applyFill="1" applyAlignment="1" applyProtection="1">
      <alignment/>
      <protection hidden="1" locked="0"/>
    </xf>
    <xf numFmtId="0" fontId="4" fillId="35" borderId="0" xfId="0" applyFont="1" applyFill="1" applyAlignment="1" applyProtection="1">
      <alignment/>
      <protection hidden="1" locked="0"/>
    </xf>
    <xf numFmtId="44" fontId="4" fillId="0" borderId="0" xfId="44" applyFont="1" applyAlignment="1" applyProtection="1">
      <alignment/>
      <protection hidden="1"/>
    </xf>
    <xf numFmtId="10" fontId="4" fillId="35" borderId="0" xfId="59" applyNumberFormat="1" applyFont="1" applyFill="1" applyAlignment="1" applyProtection="1">
      <alignment/>
      <protection hidden="1" locked="0"/>
    </xf>
    <xf numFmtId="10" fontId="4" fillId="0" borderId="0" xfId="59" applyNumberFormat="1" applyFont="1" applyAlignment="1" applyProtection="1">
      <alignment/>
      <protection hidden="1"/>
    </xf>
    <xf numFmtId="165" fontId="4" fillId="0" borderId="16" xfId="0" applyNumberFormat="1" applyFont="1" applyBorder="1" applyAlignment="1" applyProtection="1">
      <alignment/>
      <protection hidden="1"/>
    </xf>
    <xf numFmtId="165" fontId="4" fillId="0" borderId="0" xfId="0" applyNumberFormat="1" applyFont="1" applyBorder="1" applyAlignment="1" applyProtection="1">
      <alignment/>
      <protection hidden="1"/>
    </xf>
    <xf numFmtId="43" fontId="4" fillId="0" borderId="0" xfId="0" applyNumberFormat="1" applyFont="1" applyAlignment="1" applyProtection="1">
      <alignment/>
      <protection hidden="1"/>
    </xf>
    <xf numFmtId="43" fontId="4" fillId="0" borderId="24" xfId="0" applyNumberFormat="1" applyFont="1" applyBorder="1" applyAlignment="1" applyProtection="1">
      <alignment/>
      <protection hidden="1"/>
    </xf>
    <xf numFmtId="0" fontId="5" fillId="0" borderId="0" xfId="0" applyFont="1" applyAlignment="1" applyProtection="1">
      <alignment horizontal="left"/>
      <protection hidden="1"/>
    </xf>
    <xf numFmtId="165" fontId="4" fillId="0" borderId="24" xfId="0" applyNumberFormat="1" applyFont="1" applyBorder="1" applyAlignment="1" applyProtection="1">
      <alignment/>
      <protection hidden="1"/>
    </xf>
    <xf numFmtId="0" fontId="23" fillId="0" borderId="0" xfId="0" applyFont="1" applyAlignment="1" applyProtection="1">
      <alignment/>
      <protection hidden="1"/>
    </xf>
    <xf numFmtId="0" fontId="26" fillId="0" borderId="0" xfId="0" applyFont="1" applyAlignment="1" applyProtection="1">
      <alignment/>
      <protection hidden="1"/>
    </xf>
    <xf numFmtId="0" fontId="0" fillId="0" borderId="0" xfId="0" applyAlignment="1" applyProtection="1">
      <alignment horizontal="center"/>
      <protection hidden="1"/>
    </xf>
    <xf numFmtId="0" fontId="4" fillId="0" borderId="0" xfId="0" applyFont="1" applyAlignment="1" applyProtection="1">
      <alignment horizontal="center"/>
      <protection hidden="1"/>
    </xf>
    <xf numFmtId="0" fontId="0" fillId="37" borderId="10" xfId="0" applyFill="1" applyBorder="1" applyAlignment="1" applyProtection="1">
      <alignment horizontal="center"/>
      <protection hidden="1" locked="0"/>
    </xf>
    <xf numFmtId="2" fontId="0" fillId="0" borderId="0" xfId="0" applyNumberFormat="1" applyAlignment="1" applyProtection="1">
      <alignment horizontal="center"/>
      <protection hidden="1"/>
    </xf>
    <xf numFmtId="17" fontId="5" fillId="0" borderId="17" xfId="0" applyNumberFormat="1" applyFont="1" applyFill="1" applyBorder="1" applyAlignment="1" applyProtection="1">
      <alignment horizontal="center"/>
      <protection hidden="1" locked="0"/>
    </xf>
    <xf numFmtId="164" fontId="4" fillId="0" borderId="0" xfId="42" applyNumberFormat="1" applyFont="1" applyFill="1" applyAlignment="1" applyProtection="1">
      <alignment/>
      <protection hidden="1" locked="0"/>
    </xf>
    <xf numFmtId="43" fontId="4" fillId="0" borderId="14" xfId="42" applyFont="1" applyBorder="1" applyAlignment="1" applyProtection="1">
      <alignment/>
      <protection hidden="1"/>
    </xf>
    <xf numFmtId="165" fontId="5" fillId="0" borderId="17" xfId="42" applyNumberFormat="1" applyFont="1" applyBorder="1" applyAlignment="1" applyProtection="1">
      <alignment/>
      <protection hidden="1"/>
    </xf>
    <xf numFmtId="43" fontId="4" fillId="0" borderId="0" xfId="42" applyFont="1" applyFill="1" applyAlignment="1" applyProtection="1">
      <alignment/>
      <protection hidden="1"/>
    </xf>
    <xf numFmtId="0" fontId="7" fillId="0" borderId="0" xfId="0" applyFont="1" applyAlignment="1" applyProtection="1">
      <alignment/>
      <protection hidden="1"/>
    </xf>
    <xf numFmtId="165" fontId="4" fillId="0" borderId="0" xfId="42" applyNumberFormat="1" applyFont="1" applyFill="1" applyAlignment="1" applyProtection="1">
      <alignment/>
      <protection hidden="1"/>
    </xf>
    <xf numFmtId="0" fontId="4" fillId="0" borderId="0" xfId="0" applyFont="1" applyAlignment="1" applyProtection="1">
      <alignment horizontal="right"/>
      <protection hidden="1"/>
    </xf>
    <xf numFmtId="0" fontId="31" fillId="0" borderId="0" xfId="0" applyFont="1" applyAlignment="1" applyProtection="1">
      <alignment/>
      <protection hidden="1"/>
    </xf>
    <xf numFmtId="0" fontId="32" fillId="0" borderId="0" xfId="0" applyFont="1" applyAlignment="1" applyProtection="1">
      <alignment/>
      <protection hidden="1"/>
    </xf>
    <xf numFmtId="0" fontId="1" fillId="0" borderId="0" xfId="0" applyFont="1" applyAlignment="1" applyProtection="1">
      <alignment/>
      <protection hidden="1"/>
    </xf>
    <xf numFmtId="0" fontId="4" fillId="0" borderId="18" xfId="0" applyFont="1" applyBorder="1" applyAlignment="1" applyProtection="1">
      <alignment horizontal="center"/>
      <protection hidden="1"/>
    </xf>
    <xf numFmtId="0" fontId="4" fillId="0" borderId="21" xfId="0" applyFont="1" applyBorder="1" applyAlignment="1" applyProtection="1">
      <alignment horizontal="center"/>
      <protection hidden="1"/>
    </xf>
    <xf numFmtId="0" fontId="4" fillId="0" borderId="13" xfId="0" applyFont="1" applyBorder="1" applyAlignment="1" applyProtection="1">
      <alignment horizontal="center"/>
      <protection hidden="1"/>
    </xf>
    <xf numFmtId="0" fontId="4" fillId="35" borderId="0" xfId="0" applyFont="1" applyFill="1" applyAlignment="1" applyProtection="1">
      <alignment horizontal="center"/>
      <protection hidden="1" locked="0"/>
    </xf>
    <xf numFmtId="171" fontId="4" fillId="0" borderId="0" xfId="0" applyNumberFormat="1" applyFont="1" applyAlignment="1" applyProtection="1">
      <alignment horizontal="center"/>
      <protection hidden="1"/>
    </xf>
    <xf numFmtId="0" fontId="4" fillId="0" borderId="0" xfId="0" applyFont="1" applyAlignment="1" applyProtection="1">
      <alignment horizontal="left"/>
      <protection hidden="1"/>
    </xf>
    <xf numFmtId="0" fontId="4" fillId="33" borderId="0" xfId="0" applyFont="1" applyFill="1" applyAlignment="1" applyProtection="1">
      <alignment horizontal="center"/>
      <protection hidden="1" locked="0"/>
    </xf>
    <xf numFmtId="0" fontId="33" fillId="0" borderId="0" xfId="0" applyFont="1" applyAlignment="1" applyProtection="1">
      <alignment/>
      <protection hidden="1"/>
    </xf>
    <xf numFmtId="0" fontId="10" fillId="0" borderId="0" xfId="0" applyFont="1" applyAlignment="1" applyProtection="1">
      <alignment/>
      <protection hidden="1"/>
    </xf>
    <xf numFmtId="0" fontId="11" fillId="0" borderId="0" xfId="0" applyFont="1" applyAlignment="1" applyProtection="1">
      <alignment/>
      <protection hidden="1"/>
    </xf>
    <xf numFmtId="0" fontId="12" fillId="0" borderId="0" xfId="0" applyFont="1" applyAlignment="1" applyProtection="1">
      <alignment/>
      <protection hidden="1"/>
    </xf>
    <xf numFmtId="8" fontId="11" fillId="0" borderId="0" xfId="0" applyNumberFormat="1" applyFont="1" applyAlignment="1" applyProtection="1">
      <alignment/>
      <protection hidden="1"/>
    </xf>
    <xf numFmtId="173" fontId="11" fillId="0" borderId="10" xfId="0" applyNumberFormat="1" applyFont="1" applyFill="1" applyBorder="1" applyAlignment="1" applyProtection="1">
      <alignment/>
      <protection hidden="1"/>
    </xf>
    <xf numFmtId="0" fontId="27" fillId="0" borderId="0" xfId="0" applyFont="1" applyAlignment="1" applyProtection="1">
      <alignment/>
      <protection hidden="1"/>
    </xf>
    <xf numFmtId="0" fontId="15" fillId="0" borderId="0" xfId="0" applyFont="1" applyBorder="1" applyAlignment="1" applyProtection="1">
      <alignment/>
      <protection hidden="1"/>
    </xf>
    <xf numFmtId="0" fontId="34" fillId="0" borderId="0" xfId="0" applyFont="1" applyAlignment="1" applyProtection="1">
      <alignment/>
      <protection hidden="1"/>
    </xf>
    <xf numFmtId="2" fontId="31" fillId="0" borderId="0" xfId="0" applyNumberFormat="1" applyFont="1" applyBorder="1" applyAlignment="1" applyProtection="1">
      <alignment horizontal="center"/>
      <protection hidden="1"/>
    </xf>
    <xf numFmtId="2" fontId="31" fillId="0" borderId="0" xfId="0" applyNumberFormat="1" applyFont="1" applyAlignment="1" applyProtection="1">
      <alignment horizontal="center"/>
      <protection hidden="1"/>
    </xf>
    <xf numFmtId="0" fontId="31" fillId="0" borderId="0" xfId="0" applyFont="1" applyAlignment="1" applyProtection="1">
      <alignment horizontal="center"/>
      <protection hidden="1"/>
    </xf>
    <xf numFmtId="0" fontId="35" fillId="0" borderId="0" xfId="0" applyFont="1" applyAlignment="1" applyProtection="1">
      <alignment/>
      <protection hidden="1"/>
    </xf>
    <xf numFmtId="165" fontId="4" fillId="35" borderId="0" xfId="42" applyNumberFormat="1" applyFont="1" applyFill="1" applyAlignment="1" applyProtection="1">
      <alignment/>
      <protection locked="0"/>
    </xf>
    <xf numFmtId="43" fontId="4" fillId="35" borderId="0" xfId="42" applyFont="1" applyFill="1" applyAlignment="1" applyProtection="1">
      <alignment/>
      <protection locked="0"/>
    </xf>
    <xf numFmtId="166" fontId="4" fillId="35" borderId="0" xfId="59" applyNumberFormat="1" applyFont="1" applyFill="1" applyAlignment="1" applyProtection="1">
      <alignment/>
      <protection locked="0"/>
    </xf>
    <xf numFmtId="43" fontId="4" fillId="0" borderId="0" xfId="42" applyNumberFormat="1" applyFont="1" applyFill="1" applyAlignment="1" applyProtection="1">
      <alignment/>
      <protection hidden="1"/>
    </xf>
    <xf numFmtId="2" fontId="36" fillId="0" borderId="0" xfId="0" applyNumberFormat="1" applyFont="1" applyAlignment="1" applyProtection="1">
      <alignment horizontal="center"/>
      <protection hidden="1"/>
    </xf>
    <xf numFmtId="43" fontId="4" fillId="35" borderId="0" xfId="42" applyNumberFormat="1" applyFont="1" applyFill="1" applyAlignment="1" applyProtection="1">
      <alignment/>
      <protection locked="0"/>
    </xf>
    <xf numFmtId="0" fontId="5" fillId="0" borderId="0" xfId="0" applyFont="1" applyAlignment="1" applyProtection="1">
      <alignment/>
      <protection/>
    </xf>
    <xf numFmtId="0" fontId="4" fillId="0" borderId="0" xfId="0" applyFont="1" applyAlignment="1" applyProtection="1">
      <alignment/>
      <protection/>
    </xf>
    <xf numFmtId="0" fontId="15" fillId="0" borderId="10" xfId="0" applyFont="1" applyBorder="1" applyAlignment="1" applyProtection="1">
      <alignment/>
      <protection/>
    </xf>
    <xf numFmtId="0" fontId="15" fillId="0" borderId="11" xfId="0" applyFont="1" applyBorder="1" applyAlignment="1" applyProtection="1">
      <alignment/>
      <protection/>
    </xf>
    <xf numFmtId="0" fontId="0" fillId="0" borderId="12" xfId="0" applyBorder="1" applyAlignment="1" applyProtection="1">
      <alignment/>
      <protection/>
    </xf>
    <xf numFmtId="0" fontId="5" fillId="0" borderId="0" xfId="0" applyFont="1" applyAlignment="1" applyProtection="1">
      <alignment horizontal="center"/>
      <protection/>
    </xf>
    <xf numFmtId="0" fontId="5" fillId="0" borderId="17" xfId="0" applyFont="1" applyBorder="1" applyAlignment="1" applyProtection="1">
      <alignment horizontal="center"/>
      <protection/>
    </xf>
    <xf numFmtId="0" fontId="15" fillId="0" borderId="10" xfId="0" applyFont="1" applyBorder="1" applyAlignment="1" applyProtection="1">
      <alignment horizontal="center"/>
      <protection/>
    </xf>
    <xf numFmtId="43" fontId="4" fillId="0" borderId="0" xfId="42" applyNumberFormat="1" applyFont="1" applyFill="1" applyAlignment="1" applyProtection="1">
      <alignment/>
      <protection/>
    </xf>
    <xf numFmtId="164" fontId="4" fillId="0" borderId="0" xfId="42" applyNumberFormat="1" applyFont="1" applyAlignment="1" applyProtection="1">
      <alignment/>
      <protection/>
    </xf>
    <xf numFmtId="0" fontId="15" fillId="0" borderId="13" xfId="0" applyFont="1" applyBorder="1" applyAlignment="1" applyProtection="1">
      <alignment horizontal="center"/>
      <protection/>
    </xf>
    <xf numFmtId="165" fontId="4" fillId="0" borderId="0" xfId="42" applyNumberFormat="1" applyFont="1" applyFill="1" applyAlignment="1" applyProtection="1">
      <alignment/>
      <protection/>
    </xf>
    <xf numFmtId="165" fontId="4" fillId="0" borderId="0" xfId="42" applyNumberFormat="1" applyFont="1" applyAlignment="1" applyProtection="1">
      <alignment/>
      <protection/>
    </xf>
    <xf numFmtId="43" fontId="4" fillId="0" borderId="0" xfId="42" applyFont="1" applyAlignment="1" applyProtection="1">
      <alignment/>
      <protection/>
    </xf>
    <xf numFmtId="43" fontId="4" fillId="0" borderId="14" xfId="42" applyFont="1" applyBorder="1" applyAlignment="1" applyProtection="1">
      <alignment/>
      <protection/>
    </xf>
    <xf numFmtId="165" fontId="4" fillId="0" borderId="0" xfId="42" applyNumberFormat="1" applyFont="1" applyBorder="1" applyAlignment="1" applyProtection="1">
      <alignment/>
      <protection/>
    </xf>
    <xf numFmtId="43" fontId="4" fillId="0" borderId="15" xfId="42" applyFont="1" applyBorder="1" applyAlignment="1" applyProtection="1">
      <alignment/>
      <protection/>
    </xf>
    <xf numFmtId="0" fontId="6" fillId="0" borderId="0" xfId="0" applyFont="1" applyAlignment="1" applyProtection="1">
      <alignment/>
      <protection/>
    </xf>
    <xf numFmtId="43" fontId="4" fillId="0" borderId="16" xfId="42" applyFont="1" applyBorder="1" applyAlignment="1" applyProtection="1">
      <alignment/>
      <protection/>
    </xf>
    <xf numFmtId="2" fontId="4" fillId="0" borderId="0" xfId="0" applyNumberFormat="1" applyFont="1" applyAlignment="1" applyProtection="1">
      <alignment/>
      <protection/>
    </xf>
    <xf numFmtId="2" fontId="21" fillId="0" borderId="0" xfId="0" applyNumberFormat="1" applyFont="1" applyFill="1" applyAlignment="1" applyProtection="1">
      <alignment/>
      <protection/>
    </xf>
    <xf numFmtId="43" fontId="5" fillId="0" borderId="17" xfId="42" applyNumberFormat="1" applyFont="1" applyFill="1" applyBorder="1" applyAlignment="1" applyProtection="1">
      <alignment horizontal="center"/>
      <protection/>
    </xf>
    <xf numFmtId="165" fontId="4" fillId="0" borderId="10" xfId="0" applyNumberFormat="1" applyFont="1" applyBorder="1" applyAlignment="1" applyProtection="1">
      <alignment horizontal="center"/>
      <protection hidden="1"/>
    </xf>
    <xf numFmtId="165" fontId="4" fillId="0" borderId="18" xfId="0" applyNumberFormat="1" applyFont="1" applyBorder="1" applyAlignment="1" applyProtection="1">
      <alignment/>
      <protection hidden="1"/>
    </xf>
    <xf numFmtId="165" fontId="4" fillId="0" borderId="21" xfId="0" applyNumberFormat="1" applyFont="1" applyBorder="1" applyAlignment="1" applyProtection="1">
      <alignment/>
      <protection hidden="1"/>
    </xf>
    <xf numFmtId="165" fontId="4" fillId="0" borderId="13" xfId="0" applyNumberFormat="1" applyFont="1" applyBorder="1" applyAlignment="1" applyProtection="1">
      <alignment/>
      <protection hidden="1"/>
    </xf>
    <xf numFmtId="0" fontId="20" fillId="0" borderId="0" xfId="0" applyFont="1" applyAlignment="1" applyProtection="1">
      <alignment/>
      <protection/>
    </xf>
    <xf numFmtId="43" fontId="5" fillId="0" borderId="10" xfId="0" applyNumberFormat="1" applyFont="1" applyBorder="1" applyAlignment="1" applyProtection="1">
      <alignment horizontal="center"/>
      <protection/>
    </xf>
    <xf numFmtId="43" fontId="5" fillId="0" borderId="24" xfId="42" applyFont="1" applyBorder="1" applyAlignment="1" applyProtection="1">
      <alignment/>
      <protection/>
    </xf>
    <xf numFmtId="165" fontId="11" fillId="33" borderId="10" xfId="42" applyNumberFormat="1" applyFont="1" applyFill="1" applyBorder="1" applyAlignment="1" applyProtection="1">
      <alignment/>
      <protection locked="0"/>
    </xf>
    <xf numFmtId="166" fontId="11" fillId="33" borderId="10" xfId="59" applyNumberFormat="1" applyFont="1" applyFill="1" applyBorder="1" applyAlignment="1" applyProtection="1">
      <alignment/>
      <protection locked="0"/>
    </xf>
    <xf numFmtId="0" fontId="11" fillId="33" borderId="10" xfId="0" applyFont="1" applyFill="1" applyBorder="1" applyAlignment="1" applyProtection="1">
      <alignment/>
      <protection locked="0"/>
    </xf>
    <xf numFmtId="0" fontId="4" fillId="33" borderId="0" xfId="0" applyFont="1" applyFill="1" applyAlignment="1" applyProtection="1">
      <alignment/>
      <protection locked="0"/>
    </xf>
    <xf numFmtId="0" fontId="0" fillId="33" borderId="0" xfId="0" applyFill="1" applyAlignment="1" applyProtection="1">
      <alignment/>
      <protection locked="0"/>
    </xf>
    <xf numFmtId="9" fontId="0" fillId="33" borderId="0" xfId="59" applyNumberFormat="1" applyFont="1" applyFill="1" applyAlignment="1" applyProtection="1">
      <alignment/>
      <protection locked="0"/>
    </xf>
    <xf numFmtId="43" fontId="0" fillId="33" borderId="0" xfId="42" applyFont="1" applyFill="1" applyAlignment="1" applyProtection="1">
      <alignment/>
      <protection locked="0"/>
    </xf>
    <xf numFmtId="165" fontId="0" fillId="33" borderId="0" xfId="42" applyNumberFormat="1" applyFont="1" applyFill="1" applyAlignment="1" applyProtection="1">
      <alignment horizontal="right"/>
      <protection locked="0"/>
    </xf>
    <xf numFmtId="0" fontId="0" fillId="33" borderId="10" xfId="0" applyFill="1" applyBorder="1" applyAlignment="1" applyProtection="1">
      <alignment/>
      <protection locked="0"/>
    </xf>
    <xf numFmtId="0" fontId="0" fillId="33" borderId="0" xfId="0" applyFill="1" applyAlignment="1" applyProtection="1">
      <alignment horizontal="center"/>
      <protection locked="0"/>
    </xf>
    <xf numFmtId="165" fontId="0" fillId="33" borderId="0" xfId="42" applyNumberFormat="1" applyFont="1" applyFill="1" applyAlignment="1" applyProtection="1">
      <alignment/>
      <protection locked="0"/>
    </xf>
    <xf numFmtId="165" fontId="0" fillId="0" borderId="0" xfId="42" applyNumberFormat="1" applyFont="1" applyAlignment="1">
      <alignment horizontal="center"/>
    </xf>
    <xf numFmtId="165" fontId="0" fillId="33" borderId="0" xfId="42" applyNumberFormat="1" applyFont="1" applyFill="1" applyAlignment="1">
      <alignment/>
    </xf>
    <xf numFmtId="166" fontId="4" fillId="0" borderId="0" xfId="59" applyNumberFormat="1" applyFont="1" applyAlignment="1" applyProtection="1">
      <alignment/>
      <protection/>
    </xf>
    <xf numFmtId="9" fontId="4" fillId="0" borderId="14" xfId="59" applyFont="1" applyBorder="1" applyAlignment="1" applyProtection="1">
      <alignment/>
      <protection/>
    </xf>
    <xf numFmtId="166" fontId="4" fillId="0" borderId="14" xfId="59" applyNumberFormat="1" applyFont="1" applyBorder="1" applyAlignment="1" applyProtection="1">
      <alignment/>
      <protection/>
    </xf>
    <xf numFmtId="166" fontId="5" fillId="0" borderId="24" xfId="42" applyNumberFormat="1" applyFont="1" applyBorder="1" applyAlignment="1" applyProtection="1">
      <alignment/>
      <protection/>
    </xf>
    <xf numFmtId="43" fontId="4" fillId="0" borderId="0" xfId="42" applyFont="1" applyBorder="1" applyAlignment="1" applyProtection="1">
      <alignment/>
      <protection/>
    </xf>
    <xf numFmtId="166" fontId="5" fillId="0" borderId="0" xfId="42" applyNumberFormat="1" applyFont="1" applyBorder="1" applyAlignment="1" applyProtection="1">
      <alignment/>
      <protection/>
    </xf>
    <xf numFmtId="166" fontId="5" fillId="0" borderId="15" xfId="59" applyNumberFormat="1" applyFont="1" applyBorder="1" applyAlignment="1" applyProtection="1">
      <alignment/>
      <protection/>
    </xf>
    <xf numFmtId="166" fontId="5" fillId="0" borderId="16" xfId="59" applyNumberFormat="1" applyFont="1" applyBorder="1" applyAlignment="1" applyProtection="1">
      <alignment/>
      <protection/>
    </xf>
    <xf numFmtId="165" fontId="4" fillId="0" borderId="14" xfId="42" applyNumberFormat="1" applyFont="1" applyBorder="1" applyAlignment="1" applyProtection="1">
      <alignment/>
      <protection/>
    </xf>
    <xf numFmtId="165" fontId="5" fillId="0" borderId="24" xfId="42" applyNumberFormat="1" applyFont="1" applyBorder="1" applyAlignment="1" applyProtection="1">
      <alignment/>
      <protection/>
    </xf>
    <xf numFmtId="165" fontId="4" fillId="0" borderId="0" xfId="42" applyNumberFormat="1" applyFont="1" applyAlignment="1" applyProtection="1">
      <alignment horizontal="left" indent="2"/>
      <protection/>
    </xf>
    <xf numFmtId="165" fontId="5" fillId="0" borderId="0" xfId="42" applyNumberFormat="1" applyFont="1" applyBorder="1" applyAlignment="1" applyProtection="1">
      <alignment/>
      <protection/>
    </xf>
    <xf numFmtId="165" fontId="4" fillId="0" borderId="0" xfId="42" applyNumberFormat="1" applyFont="1" applyAlignment="1" applyProtection="1">
      <alignment horizontal="center"/>
      <protection/>
    </xf>
    <xf numFmtId="165" fontId="5" fillId="0" borderId="17" xfId="42" applyNumberFormat="1" applyFont="1" applyFill="1" applyBorder="1" applyAlignment="1" applyProtection="1">
      <alignment horizontal="center"/>
      <protection/>
    </xf>
    <xf numFmtId="165" fontId="5" fillId="0" borderId="15" xfId="42" applyNumberFormat="1" applyFont="1" applyBorder="1" applyAlignment="1" applyProtection="1">
      <alignment/>
      <protection/>
    </xf>
    <xf numFmtId="165" fontId="5" fillId="0" borderId="16" xfId="42" applyNumberFormat="1" applyFont="1" applyBorder="1" applyAlignment="1" applyProtection="1">
      <alignment/>
      <protection/>
    </xf>
    <xf numFmtId="0" fontId="36" fillId="0" borderId="0" xfId="0" applyFont="1" applyAlignment="1" applyProtection="1">
      <alignment/>
      <protection/>
    </xf>
    <xf numFmtId="0" fontId="5" fillId="39" borderId="10" xfId="0" applyFont="1" applyFill="1" applyBorder="1" applyAlignment="1" applyProtection="1">
      <alignment/>
      <protection/>
    </xf>
    <xf numFmtId="0" fontId="5" fillId="39" borderId="10" xfId="0" applyFont="1" applyFill="1" applyBorder="1" applyAlignment="1" applyProtection="1">
      <alignment horizontal="center"/>
      <protection/>
    </xf>
    <xf numFmtId="165" fontId="5" fillId="0" borderId="0" xfId="42" applyNumberFormat="1" applyFont="1" applyAlignment="1" applyProtection="1">
      <alignment horizontal="center"/>
      <protection/>
    </xf>
    <xf numFmtId="165" fontId="4" fillId="39" borderId="11" xfId="42" applyNumberFormat="1" applyFont="1" applyFill="1" applyBorder="1" applyAlignment="1" applyProtection="1">
      <alignment/>
      <protection/>
    </xf>
    <xf numFmtId="0" fontId="4" fillId="40" borderId="11" xfId="0" applyFont="1" applyFill="1" applyBorder="1" applyAlignment="1" applyProtection="1">
      <alignment/>
      <protection/>
    </xf>
    <xf numFmtId="0" fontId="5" fillId="40" borderId="25" xfId="0" applyFont="1" applyFill="1" applyBorder="1" applyAlignment="1" applyProtection="1">
      <alignment horizontal="center"/>
      <protection/>
    </xf>
    <xf numFmtId="0" fontId="4" fillId="40" borderId="12" xfId="0" applyFont="1" applyFill="1" applyBorder="1" applyAlignment="1" applyProtection="1">
      <alignment/>
      <protection/>
    </xf>
    <xf numFmtId="165" fontId="5" fillId="39" borderId="25" xfId="42" applyNumberFormat="1" applyFont="1" applyFill="1" applyBorder="1" applyAlignment="1" applyProtection="1">
      <alignment horizontal="center"/>
      <protection/>
    </xf>
    <xf numFmtId="165" fontId="4" fillId="39" borderId="12" xfId="42" applyNumberFormat="1" applyFont="1" applyFill="1" applyBorder="1" applyAlignment="1" applyProtection="1">
      <alignment/>
      <protection/>
    </xf>
    <xf numFmtId="165" fontId="5" fillId="0" borderId="17" xfId="42" applyNumberFormat="1" applyFont="1" applyBorder="1" applyAlignment="1" applyProtection="1">
      <alignment horizontal="center"/>
      <protection/>
    </xf>
    <xf numFmtId="0" fontId="1" fillId="33" borderId="19" xfId="0" applyFont="1" applyFill="1" applyBorder="1" applyAlignment="1" applyProtection="1">
      <alignment horizontal="center"/>
      <protection locked="0"/>
    </xf>
    <xf numFmtId="0" fontId="1" fillId="33" borderId="20" xfId="0" applyFont="1" applyFill="1" applyBorder="1" applyAlignment="1" applyProtection="1">
      <alignment horizontal="center"/>
      <protection locked="0"/>
    </xf>
    <xf numFmtId="0" fontId="0" fillId="0" borderId="10" xfId="0" applyFill="1" applyBorder="1" applyAlignment="1" applyProtection="1">
      <alignment/>
      <protection hidden="1"/>
    </xf>
    <xf numFmtId="0" fontId="15" fillId="0" borderId="0" xfId="0" applyFont="1" applyFill="1" applyBorder="1" applyAlignment="1" applyProtection="1">
      <alignment horizontal="left"/>
      <protection hidden="1" locked="0"/>
    </xf>
    <xf numFmtId="0" fontId="1" fillId="0" borderId="10" xfId="0" applyFont="1" applyBorder="1" applyAlignment="1" applyProtection="1">
      <alignment/>
      <protection hidden="1"/>
    </xf>
    <xf numFmtId="0" fontId="3" fillId="0" borderId="10" xfId="0" applyFont="1" applyBorder="1" applyAlignment="1" applyProtection="1">
      <alignment/>
      <protection hidden="1"/>
    </xf>
    <xf numFmtId="0" fontId="1" fillId="0" borderId="19" xfId="0" applyFont="1" applyFill="1" applyBorder="1" applyAlignment="1" applyProtection="1">
      <alignment horizontal="center"/>
      <protection locked="0"/>
    </xf>
    <xf numFmtId="0" fontId="1" fillId="0" borderId="20" xfId="0" applyFont="1" applyFill="1" applyBorder="1" applyAlignment="1" applyProtection="1">
      <alignment horizontal="center"/>
      <protection locked="0"/>
    </xf>
    <xf numFmtId="0" fontId="0" fillId="0" borderId="0" xfId="0" applyBorder="1" applyAlignment="1" applyProtection="1">
      <alignment/>
      <protection hidden="1"/>
    </xf>
    <xf numFmtId="1" fontId="0" fillId="0" borderId="0" xfId="0" applyNumberFormat="1" applyBorder="1" applyAlignment="1" applyProtection="1">
      <alignment/>
      <protection hidden="1"/>
    </xf>
    <xf numFmtId="165" fontId="0" fillId="0" borderId="0" xfId="0" applyNumberFormat="1" applyBorder="1" applyAlignment="1" applyProtection="1">
      <alignment/>
      <protection hidden="1"/>
    </xf>
    <xf numFmtId="43" fontId="4" fillId="37" borderId="0" xfId="42" applyFont="1" applyFill="1" applyAlignment="1" applyProtection="1">
      <alignment/>
      <protection locked="0"/>
    </xf>
    <xf numFmtId="0" fontId="3" fillId="0" borderId="10" xfId="0" applyFont="1" applyFill="1" applyBorder="1" applyAlignment="1" applyProtection="1">
      <alignment/>
      <protection hidden="1"/>
    </xf>
    <xf numFmtId="165" fontId="1" fillId="0" borderId="10" xfId="42" applyNumberFormat="1" applyFont="1" applyBorder="1" applyAlignment="1" applyProtection="1">
      <alignment/>
      <protection hidden="1"/>
    </xf>
    <xf numFmtId="164" fontId="0" fillId="0" borderId="10" xfId="42" applyNumberFormat="1" applyFont="1" applyBorder="1" applyAlignment="1" applyProtection="1">
      <alignment/>
      <protection hidden="1"/>
    </xf>
    <xf numFmtId="164" fontId="0" fillId="0" borderId="10" xfId="0" applyNumberFormat="1" applyBorder="1" applyAlignment="1" applyProtection="1">
      <alignment/>
      <protection hidden="1"/>
    </xf>
    <xf numFmtId="171" fontId="0" fillId="33" borderId="10" xfId="0" applyNumberFormat="1" applyFill="1" applyBorder="1" applyAlignment="1" applyProtection="1">
      <alignment horizontal="center"/>
      <protection hidden="1" locked="0"/>
    </xf>
    <xf numFmtId="165" fontId="0" fillId="33" borderId="10" xfId="42" applyNumberFormat="1" applyFont="1" applyFill="1" applyBorder="1" applyAlignment="1" applyProtection="1">
      <alignment/>
      <protection locked="0"/>
    </xf>
    <xf numFmtId="166" fontId="0" fillId="0" borderId="10" xfId="59" applyNumberFormat="1" applyFont="1" applyBorder="1" applyAlignment="1" applyProtection="1">
      <alignment/>
      <protection hidden="1"/>
    </xf>
    <xf numFmtId="166" fontId="1" fillId="0" borderId="10" xfId="59" applyNumberFormat="1" applyFont="1" applyBorder="1" applyAlignment="1" applyProtection="1">
      <alignment/>
      <protection hidden="1"/>
    </xf>
    <xf numFmtId="166" fontId="0" fillId="0" borderId="10" xfId="59" applyNumberFormat="1" applyFont="1" applyBorder="1" applyAlignment="1" applyProtection="1">
      <alignment/>
      <protection hidden="1"/>
    </xf>
    <xf numFmtId="165" fontId="4" fillId="33" borderId="10" xfId="42" applyNumberFormat="1" applyFont="1" applyFill="1" applyBorder="1" applyAlignment="1" applyProtection="1">
      <alignment/>
      <protection locked="0"/>
    </xf>
    <xf numFmtId="49" fontId="4" fillId="33" borderId="0" xfId="42" applyNumberFormat="1" applyFont="1" applyFill="1" applyAlignment="1" applyProtection="1">
      <alignment/>
      <protection locked="0"/>
    </xf>
    <xf numFmtId="49" fontId="4" fillId="33" borderId="0" xfId="0" applyNumberFormat="1" applyFont="1" applyFill="1" applyAlignment="1" applyProtection="1">
      <alignment/>
      <protection locked="0"/>
    </xf>
    <xf numFmtId="49" fontId="4" fillId="0" borderId="0" xfId="42" applyNumberFormat="1" applyFont="1" applyBorder="1" applyAlignment="1" applyProtection="1">
      <alignment/>
      <protection/>
    </xf>
    <xf numFmtId="49" fontId="4" fillId="0" borderId="0" xfId="0" applyNumberFormat="1" applyFont="1" applyAlignment="1" applyProtection="1">
      <alignment/>
      <protection/>
    </xf>
    <xf numFmtId="49" fontId="4" fillId="0" borderId="0" xfId="42" applyNumberFormat="1" applyFont="1" applyAlignment="1" applyProtection="1">
      <alignment/>
      <protection/>
    </xf>
    <xf numFmtId="0" fontId="0" fillId="33" borderId="0" xfId="0" applyFill="1" applyAlignment="1" applyProtection="1">
      <alignment horizontal="left"/>
      <protection locked="0"/>
    </xf>
    <xf numFmtId="43" fontId="0" fillId="33" borderId="10" xfId="42" applyFont="1" applyFill="1" applyBorder="1" applyAlignment="1" applyProtection="1">
      <alignment/>
      <protection locked="0"/>
    </xf>
    <xf numFmtId="43" fontId="4" fillId="33" borderId="10" xfId="42" applyFont="1" applyFill="1" applyBorder="1" applyAlignment="1" applyProtection="1">
      <alignment/>
      <protection locked="0"/>
    </xf>
    <xf numFmtId="0" fontId="4" fillId="33" borderId="10" xfId="0" applyFont="1" applyFill="1" applyBorder="1" applyAlignment="1" applyProtection="1">
      <alignment horizontal="center"/>
      <protection locked="0"/>
    </xf>
    <xf numFmtId="165" fontId="4" fillId="0" borderId="23" xfId="42" applyNumberFormat="1" applyFont="1" applyBorder="1" applyAlignment="1" applyProtection="1">
      <alignment/>
      <protection hidden="1"/>
    </xf>
    <xf numFmtId="0" fontId="4" fillId="41" borderId="0" xfId="0" applyFont="1" applyFill="1" applyAlignment="1" applyProtection="1">
      <alignment/>
      <protection locked="0"/>
    </xf>
    <xf numFmtId="0" fontId="82" fillId="41" borderId="0" xfId="0" applyFont="1" applyFill="1" applyAlignment="1" applyProtection="1">
      <alignment/>
      <protection locked="0"/>
    </xf>
    <xf numFmtId="0" fontId="83" fillId="0" borderId="0" xfId="0" applyFont="1" applyAlignment="1" applyProtection="1">
      <alignment/>
      <protection hidden="1"/>
    </xf>
    <xf numFmtId="0" fontId="84" fillId="0" borderId="0" xfId="0" applyFont="1" applyAlignment="1" applyProtection="1">
      <alignment/>
      <protection hidden="1"/>
    </xf>
    <xf numFmtId="0" fontId="85" fillId="0" borderId="0" xfId="0" applyFont="1" applyAlignment="1" applyProtection="1">
      <alignment/>
      <protection hidden="1"/>
    </xf>
    <xf numFmtId="0" fontId="0" fillId="0" borderId="0" xfId="0" applyFont="1" applyAlignment="1" applyProtection="1">
      <alignment/>
      <protection hidden="1"/>
    </xf>
    <xf numFmtId="0" fontId="9" fillId="0" borderId="0" xfId="0" applyFont="1" applyAlignment="1" applyProtection="1">
      <alignment/>
      <protection hidden="1"/>
    </xf>
    <xf numFmtId="165" fontId="5" fillId="0" borderId="0" xfId="42" applyNumberFormat="1" applyFont="1" applyAlignment="1" applyProtection="1">
      <alignment/>
      <protection/>
    </xf>
    <xf numFmtId="166" fontId="5" fillId="0" borderId="0" xfId="59" applyNumberFormat="1" applyFont="1" applyAlignment="1" applyProtection="1">
      <alignment/>
      <protection/>
    </xf>
    <xf numFmtId="49" fontId="0" fillId="33" borderId="10" xfId="0" applyNumberFormat="1" applyFont="1" applyFill="1" applyBorder="1" applyAlignment="1" applyProtection="1">
      <alignment/>
      <protection hidden="1" locked="0"/>
    </xf>
    <xf numFmtId="8" fontId="4" fillId="0" borderId="0" xfId="42" applyNumberFormat="1" applyFont="1" applyFill="1" applyAlignment="1" applyProtection="1">
      <alignment/>
      <protection hidden="1"/>
    </xf>
    <xf numFmtId="0" fontId="0" fillId="0" borderId="10" xfId="0" applyFont="1" applyFill="1" applyBorder="1" applyAlignment="1" applyProtection="1" quotePrefix="1">
      <alignment horizontal="left"/>
      <protection hidden="1"/>
    </xf>
    <xf numFmtId="17" fontId="5" fillId="33" borderId="17" xfId="0" applyNumberFormat="1" applyFont="1" applyFill="1" applyBorder="1" applyAlignment="1" applyProtection="1">
      <alignment horizontal="center"/>
      <protection locked="0"/>
    </xf>
    <xf numFmtId="0" fontId="35" fillId="0" borderId="0" xfId="0" applyFont="1" applyBorder="1" applyAlignment="1" applyProtection="1">
      <alignment horizont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1257300</xdr:colOff>
      <xdr:row>18</xdr:row>
      <xdr:rowOff>95250</xdr:rowOff>
    </xdr:from>
    <xdr:to>
      <xdr:col>2</xdr:col>
      <xdr:colOff>209550</xdr:colOff>
      <xdr:row>23</xdr:row>
      <xdr:rowOff>47625</xdr:rowOff>
    </xdr:to>
    <xdr:sp>
      <xdr:nvSpPr>
        <xdr:cNvPr id="1" name="Text Box 2"/>
        <xdr:cNvSpPr txBox="1">
          <a:spLocks noChangeArrowheads="1"/>
        </xdr:cNvSpPr>
      </xdr:nvSpPr>
      <xdr:spPr>
        <a:xfrm>
          <a:off x="1257300" y="3495675"/>
          <a:ext cx="3009900" cy="676275"/>
        </a:xfrm>
        <a:prstGeom prst="rect">
          <a:avLst/>
        </a:prstGeom>
        <a:solidFill>
          <a:srgbClr val="FFFFFF"/>
        </a:solidFill>
        <a:ln w="9525" cmpd="sng">
          <a:solidFill>
            <a:srgbClr val="000000"/>
          </a:solidFill>
          <a:headEnd type="none"/>
          <a:tailEnd type="none"/>
        </a:ln>
      </xdr:spPr>
      <xdr:txBody>
        <a:bodyPr vertOverflow="clip" wrap="square" lIns="27432" tIns="22860" rIns="27432" bIns="0" anchor="ctr"/>
        <a:p>
          <a:pPr algn="ctr">
            <a:defRPr/>
          </a:pPr>
          <a:r>
            <a:rPr lang="en-US" cap="none" sz="1000" b="0" i="1" u="none" baseline="0">
              <a:solidFill>
                <a:srgbClr val="000000"/>
              </a:solidFill>
              <a:latin typeface="Arial"/>
              <a:ea typeface="Arial"/>
              <a:cs typeface="Arial"/>
            </a:rPr>
            <a:t>This product was created by Multi-View Incorporated.  It is for the exclusive use of MVI clients.  
</a:t>
          </a:r>
          <a:r>
            <a:rPr lang="en-US" cap="none" sz="1000" b="0" i="1" u="none" baseline="0">
              <a:solidFill>
                <a:srgbClr val="000000"/>
              </a:solidFill>
              <a:latin typeface="Arial"/>
              <a:ea typeface="Arial"/>
              <a:cs typeface="Arial"/>
            </a:rPr>
            <a:t>All rights are reserved.</a:t>
          </a:r>
        </a:p>
      </xdr:txBody>
    </xdr:sp>
    <xdr:clientData/>
  </xdr:twoCellAnchor>
  <xdr:twoCellAnchor>
    <xdr:from>
      <xdr:col>0</xdr:col>
      <xdr:colOff>1066800</xdr:colOff>
      <xdr:row>11</xdr:row>
      <xdr:rowOff>66675</xdr:rowOff>
    </xdr:from>
    <xdr:to>
      <xdr:col>2</xdr:col>
      <xdr:colOff>304800</xdr:colOff>
      <xdr:row>16</xdr:row>
      <xdr:rowOff>9525</xdr:rowOff>
    </xdr:to>
    <xdr:pic>
      <xdr:nvPicPr>
        <xdr:cNvPr id="2" name="Picture 4" descr="Image-0001"/>
        <xdr:cNvPicPr preferRelativeResize="1">
          <a:picLocks noChangeAspect="1"/>
        </xdr:cNvPicPr>
      </xdr:nvPicPr>
      <xdr:blipFill>
        <a:blip r:embed="rId1"/>
        <a:stretch>
          <a:fillRect/>
        </a:stretch>
      </xdr:blipFill>
      <xdr:spPr>
        <a:xfrm>
          <a:off x="1066800" y="2333625"/>
          <a:ext cx="3295650" cy="752475"/>
        </a:xfrm>
        <a:prstGeom prst="rect">
          <a:avLst/>
        </a:prstGeom>
        <a:noFill/>
        <a:ln w="9525" cmpd="sng">
          <a:noFill/>
        </a:ln>
      </xdr:spPr>
    </xdr:pic>
    <xdr:clientData/>
  </xdr:twoCellAnchor>
  <xdr:twoCellAnchor>
    <xdr:from>
      <xdr:col>0</xdr:col>
      <xdr:colOff>800100</xdr:colOff>
      <xdr:row>25</xdr:row>
      <xdr:rowOff>57150</xdr:rowOff>
    </xdr:from>
    <xdr:to>
      <xdr:col>2</xdr:col>
      <xdr:colOff>476250</xdr:colOff>
      <xdr:row>42</xdr:row>
      <xdr:rowOff>95250</xdr:rowOff>
    </xdr:to>
    <xdr:sp>
      <xdr:nvSpPr>
        <xdr:cNvPr id="3" name="TextBox 1"/>
        <xdr:cNvSpPr txBox="1">
          <a:spLocks noChangeArrowheads="1"/>
        </xdr:cNvSpPr>
      </xdr:nvSpPr>
      <xdr:spPr>
        <a:xfrm>
          <a:off x="800100" y="4505325"/>
          <a:ext cx="3733800" cy="2781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This tool was designed not only for the construction and planning phase on an inpatient</a:t>
          </a:r>
          <a:r>
            <a:rPr lang="en-US" cap="none" sz="1100" b="0" i="0" u="none" baseline="0">
              <a:solidFill>
                <a:srgbClr val="000000"/>
              </a:solidFill>
              <a:latin typeface="Calibri"/>
              <a:ea typeface="Calibri"/>
              <a:cs typeface="Calibri"/>
            </a:rPr>
            <a:t> unit, but also for </a:t>
          </a:r>
          <a:r>
            <a:rPr lang="en-US" cap="none" sz="1100" b="0" i="0" u="sng" baseline="0">
              <a:solidFill>
                <a:srgbClr val="FF0000"/>
              </a:solidFill>
              <a:latin typeface="Calibri"/>
              <a:ea typeface="Calibri"/>
              <a:cs typeface="Calibri"/>
            </a:rPr>
            <a:t>on-going operations</a:t>
          </a:r>
          <a:r>
            <a:rPr lang="en-US" cap="none" sz="1100" b="0" i="0" u="none" baseline="0">
              <a:solidFill>
                <a:srgbClr val="000000"/>
              </a:solidFill>
              <a:latin typeface="Calibri"/>
              <a:ea typeface="Calibri"/>
              <a:cs typeface="Calibri"/>
            </a:rPr>
            <a:t>. With the Tool, an IP Unit leader can forecast staffing and perform "what if" scenarios with ease.  In the opinion of MVI, ALL IP UNIT LEADERS SHOULD BE CAPABLE OF USING THIS TOOL. The comparison of actual performance with your IPU "Model" is in the Model Comparison tab. This is also where your F9 account parameters would be aligned.  To calculate the tool, press the F9 key.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tool can also</a:t>
          </a:r>
          <a:r>
            <a:rPr lang="en-US" cap="none" sz="1100" b="0" i="0" u="none" baseline="0">
              <a:solidFill>
                <a:srgbClr val="000000"/>
              </a:solidFill>
              <a:latin typeface="Calibri"/>
              <a:ea typeface="Calibri"/>
              <a:cs typeface="Calibri"/>
            </a:rPr>
            <a:t> be used to plan, forecast and manage Continuous Care programs. A Continuous Care program is much like a "mobile IPU." Therefore, the staffing, Patient-Related and infrastructures components can be addressed with ease.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333375</xdr:colOff>
      <xdr:row>8</xdr:row>
      <xdr:rowOff>19050</xdr:rowOff>
    </xdr:from>
    <xdr:to>
      <xdr:col>8</xdr:col>
      <xdr:colOff>561975</xdr:colOff>
      <xdr:row>12</xdr:row>
      <xdr:rowOff>9525</xdr:rowOff>
    </xdr:to>
    <xdr:sp>
      <xdr:nvSpPr>
        <xdr:cNvPr id="1" name="Text Box 1"/>
        <xdr:cNvSpPr txBox="1">
          <a:spLocks noChangeArrowheads="1"/>
        </xdr:cNvSpPr>
      </xdr:nvSpPr>
      <xdr:spPr>
        <a:xfrm>
          <a:off x="561975" y="1304925"/>
          <a:ext cx="4191000" cy="6381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sng" baseline="0">
              <a:solidFill>
                <a:srgbClr val="000000"/>
              </a:solidFill>
              <a:latin typeface="Arial"/>
              <a:ea typeface="Arial"/>
              <a:cs typeface="Arial"/>
            </a:rPr>
            <a:t>Estimating Square Footage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A good rule of thumb is that for every inpatient bed, it will take 900 square feet.  This number includes halls, bathrooms, administrative office space, common areas, etc.  Thus if you plan on a 12 bed unit, the estimated number of square feet will be 10,800.</a:t>
          </a:r>
        </a:p>
      </xdr:txBody>
    </xdr:sp>
    <xdr:clientData/>
  </xdr:twoCellAnchor>
  <xdr:twoCellAnchor>
    <xdr:from>
      <xdr:col>2</xdr:col>
      <xdr:colOff>361950</xdr:colOff>
      <xdr:row>21</xdr:row>
      <xdr:rowOff>142875</xdr:rowOff>
    </xdr:from>
    <xdr:to>
      <xdr:col>8</xdr:col>
      <xdr:colOff>590550</xdr:colOff>
      <xdr:row>26</xdr:row>
      <xdr:rowOff>95250</xdr:rowOff>
    </xdr:to>
    <xdr:sp>
      <xdr:nvSpPr>
        <xdr:cNvPr id="2" name="Text Box 2"/>
        <xdr:cNvSpPr txBox="1">
          <a:spLocks noChangeArrowheads="1"/>
        </xdr:cNvSpPr>
      </xdr:nvSpPr>
      <xdr:spPr>
        <a:xfrm>
          <a:off x="590550" y="3495675"/>
          <a:ext cx="4191000" cy="7620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sng" baseline="0">
              <a:solidFill>
                <a:srgbClr val="000000"/>
              </a:solidFill>
              <a:latin typeface="Arial"/>
              <a:ea typeface="Arial"/>
              <a:cs typeface="Arial"/>
            </a:rPr>
            <a:t>Estimating Equipment Costs</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A good rule of thumb is that equipment will run approximately 10% of your building construction costs.  Many times, we will use 12% to be conservative. These costs can be dramatically reduced by special discounts for hospices or community/government organizations subsidizing costs.</a:t>
          </a:r>
        </a:p>
      </xdr:txBody>
    </xdr:sp>
    <xdr:clientData/>
  </xdr:twoCellAnchor>
  <xdr:twoCellAnchor>
    <xdr:from>
      <xdr:col>8</xdr:col>
      <xdr:colOff>514350</xdr:colOff>
      <xdr:row>2</xdr:row>
      <xdr:rowOff>104775</xdr:rowOff>
    </xdr:from>
    <xdr:to>
      <xdr:col>10</xdr:col>
      <xdr:colOff>514350</xdr:colOff>
      <xdr:row>5</xdr:row>
      <xdr:rowOff>142875</xdr:rowOff>
    </xdr:to>
    <xdr:sp>
      <xdr:nvSpPr>
        <xdr:cNvPr id="3" name="Text Box 4"/>
        <xdr:cNvSpPr txBox="1">
          <a:spLocks noChangeArrowheads="1"/>
        </xdr:cNvSpPr>
      </xdr:nvSpPr>
      <xdr:spPr>
        <a:xfrm>
          <a:off x="4705350" y="428625"/>
          <a:ext cx="1219200" cy="5238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This amount does not include the cost of land or land preparation.</a:t>
          </a:r>
          <a:r>
            <a:rPr lang="en-US" cap="none" sz="1000" b="0" i="0" u="none" baseline="0">
              <a:solidFill>
                <a:srgbClr val="000000"/>
              </a:solidFill>
              <a:latin typeface="Arial"/>
              <a:ea typeface="Arial"/>
              <a:cs typeface="Arial"/>
            </a:rPr>
            <a:t>
</a:t>
          </a:r>
        </a:p>
      </xdr:txBody>
    </xdr:sp>
    <xdr:clientData/>
  </xdr:twoCellAnchor>
  <xdr:twoCellAnchor>
    <xdr:from>
      <xdr:col>7</xdr:col>
      <xdr:colOff>695325</xdr:colOff>
      <xdr:row>3</xdr:row>
      <xdr:rowOff>95250</xdr:rowOff>
    </xdr:from>
    <xdr:to>
      <xdr:col>8</xdr:col>
      <xdr:colOff>561975</xdr:colOff>
      <xdr:row>6</xdr:row>
      <xdr:rowOff>38100</xdr:rowOff>
    </xdr:to>
    <xdr:sp>
      <xdr:nvSpPr>
        <xdr:cNvPr id="4" name="Line 5"/>
        <xdr:cNvSpPr>
          <a:spLocks/>
        </xdr:cNvSpPr>
      </xdr:nvSpPr>
      <xdr:spPr>
        <a:xfrm flipH="1">
          <a:off x="4133850" y="581025"/>
          <a:ext cx="619125"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200025</xdr:colOff>
      <xdr:row>54</xdr:row>
      <xdr:rowOff>19050</xdr:rowOff>
    </xdr:from>
    <xdr:to>
      <xdr:col>14</xdr:col>
      <xdr:colOff>523875</xdr:colOff>
      <xdr:row>56</xdr:row>
      <xdr:rowOff>57150</xdr:rowOff>
    </xdr:to>
    <xdr:pic>
      <xdr:nvPicPr>
        <xdr:cNvPr id="1" name="Picture 4" descr="Image-0001"/>
        <xdr:cNvPicPr preferRelativeResize="1">
          <a:picLocks noChangeAspect="1"/>
        </xdr:cNvPicPr>
      </xdr:nvPicPr>
      <xdr:blipFill>
        <a:blip r:embed="rId1"/>
        <a:stretch>
          <a:fillRect/>
        </a:stretch>
      </xdr:blipFill>
      <xdr:spPr>
        <a:xfrm>
          <a:off x="7677150" y="7810500"/>
          <a:ext cx="1571625" cy="304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228600</xdr:colOff>
      <xdr:row>28</xdr:row>
      <xdr:rowOff>9525</xdr:rowOff>
    </xdr:from>
    <xdr:to>
      <xdr:col>15</xdr:col>
      <xdr:colOff>85725</xdr:colOff>
      <xdr:row>40</xdr:row>
      <xdr:rowOff>0</xdr:rowOff>
    </xdr:to>
    <xdr:sp>
      <xdr:nvSpPr>
        <xdr:cNvPr id="1" name="Text Box 5"/>
        <xdr:cNvSpPr txBox="1">
          <a:spLocks noChangeArrowheads="1"/>
        </xdr:cNvSpPr>
      </xdr:nvSpPr>
      <xdr:spPr>
        <a:xfrm>
          <a:off x="7048500" y="4095750"/>
          <a:ext cx="1762125" cy="17526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sng" baseline="0">
              <a:solidFill>
                <a:srgbClr val="000000"/>
              </a:solidFill>
              <a:latin typeface="Arial"/>
              <a:ea typeface="Arial"/>
              <a:cs typeface="Arial"/>
            </a:rPr>
            <a:t>Room &amp; Board Revenue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This is the amount that you intend to charge residential patients for living at your hospice facility.  The Mix % is the percentage of patients you intend to collect from, usually 50%.  This mix percentage is ADDED to 100%. Therefore, if you believe that you will collect room &amp; board from 50% of your residential patients your total percentage will be 150%.</a:t>
          </a:r>
        </a:p>
      </xdr:txBody>
    </xdr:sp>
    <xdr:clientData/>
  </xdr:twoCellAnchor>
  <xdr:twoCellAnchor>
    <xdr:from>
      <xdr:col>5</xdr:col>
      <xdr:colOff>85725</xdr:colOff>
      <xdr:row>30</xdr:row>
      <xdr:rowOff>28575</xdr:rowOff>
    </xdr:from>
    <xdr:to>
      <xdr:col>12</xdr:col>
      <xdr:colOff>285750</xdr:colOff>
      <xdr:row>32</xdr:row>
      <xdr:rowOff>57150</xdr:rowOff>
    </xdr:to>
    <xdr:sp>
      <xdr:nvSpPr>
        <xdr:cNvPr id="2" name="Line 6"/>
        <xdr:cNvSpPr>
          <a:spLocks/>
        </xdr:cNvSpPr>
      </xdr:nvSpPr>
      <xdr:spPr>
        <a:xfrm flipH="1">
          <a:off x="2476500" y="4400550"/>
          <a:ext cx="462915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238125</xdr:colOff>
      <xdr:row>42</xdr:row>
      <xdr:rowOff>47625</xdr:rowOff>
    </xdr:from>
    <xdr:to>
      <xdr:col>15</xdr:col>
      <xdr:colOff>95250</xdr:colOff>
      <xdr:row>48</xdr:row>
      <xdr:rowOff>66675</xdr:rowOff>
    </xdr:to>
    <xdr:sp>
      <xdr:nvSpPr>
        <xdr:cNvPr id="3" name="Text Box 8"/>
        <xdr:cNvSpPr txBox="1">
          <a:spLocks noChangeArrowheads="1"/>
        </xdr:cNvSpPr>
      </xdr:nvSpPr>
      <xdr:spPr>
        <a:xfrm>
          <a:off x="7058025" y="6181725"/>
          <a:ext cx="1762125" cy="8858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a:t>
          </a:r>
          <a:r>
            <a:rPr lang="en-US" cap="none" sz="800" b="0" i="0" u="none" baseline="0">
              <a:solidFill>
                <a:srgbClr val="000000"/>
              </a:solidFill>
              <a:latin typeface="Arial"/>
              <a:ea typeface="Arial"/>
              <a:cs typeface="Arial"/>
            </a:rPr>
            <a:t>his area can be used for either Continuous Care or Respite level of care.  The term Crisis Care is the same as Continuous Care but is much more accurate in setting patient/family expectations.</a:t>
          </a:r>
        </a:p>
      </xdr:txBody>
    </xdr:sp>
    <xdr:clientData/>
  </xdr:twoCellAnchor>
  <xdr:twoCellAnchor>
    <xdr:from>
      <xdr:col>4</xdr:col>
      <xdr:colOff>38100</xdr:colOff>
      <xdr:row>40</xdr:row>
      <xdr:rowOff>114300</xdr:rowOff>
    </xdr:from>
    <xdr:to>
      <xdr:col>12</xdr:col>
      <xdr:colOff>266700</xdr:colOff>
      <xdr:row>43</xdr:row>
      <xdr:rowOff>66675</xdr:rowOff>
    </xdr:to>
    <xdr:sp>
      <xdr:nvSpPr>
        <xdr:cNvPr id="4" name="Line 9"/>
        <xdr:cNvSpPr>
          <a:spLocks/>
        </xdr:cNvSpPr>
      </xdr:nvSpPr>
      <xdr:spPr>
        <a:xfrm flipH="1" flipV="1">
          <a:off x="1971675" y="5962650"/>
          <a:ext cx="5114925"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206</xdr:row>
      <xdr:rowOff>66675</xdr:rowOff>
    </xdr:from>
    <xdr:to>
      <xdr:col>11</xdr:col>
      <xdr:colOff>495300</xdr:colOff>
      <xdr:row>216</xdr:row>
      <xdr:rowOff>38100</xdr:rowOff>
    </xdr:to>
    <xdr:sp>
      <xdr:nvSpPr>
        <xdr:cNvPr id="1" name="Text Box 50"/>
        <xdr:cNvSpPr txBox="1">
          <a:spLocks noChangeArrowheads="1"/>
        </xdr:cNvSpPr>
      </xdr:nvSpPr>
      <xdr:spPr>
        <a:xfrm>
          <a:off x="5343525" y="25003125"/>
          <a:ext cx="1257300" cy="12192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5.5 FTEs are required to fill annual 24/7 staffing based on 730 12-hour shifts and an average of 132 shifts worked by each employee. See FTE Computations for more detail.</a:t>
          </a:r>
        </a:p>
      </xdr:txBody>
    </xdr:sp>
    <xdr:clientData/>
  </xdr:twoCellAnchor>
  <xdr:twoCellAnchor>
    <xdr:from>
      <xdr:col>11</xdr:col>
      <xdr:colOff>152400</xdr:colOff>
      <xdr:row>16</xdr:row>
      <xdr:rowOff>47625</xdr:rowOff>
    </xdr:from>
    <xdr:to>
      <xdr:col>13</xdr:col>
      <xdr:colOff>85725</xdr:colOff>
      <xdr:row>46</xdr:row>
      <xdr:rowOff>76200</xdr:rowOff>
    </xdr:to>
    <xdr:sp>
      <xdr:nvSpPr>
        <xdr:cNvPr id="2" name="Text Box 51"/>
        <xdr:cNvSpPr txBox="1">
          <a:spLocks noChangeArrowheads="1"/>
        </xdr:cNvSpPr>
      </xdr:nvSpPr>
      <xdr:spPr>
        <a:xfrm>
          <a:off x="6257925" y="2209800"/>
          <a:ext cx="1152525" cy="37623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800" b="1" i="0" u="sng" baseline="0">
              <a:solidFill>
                <a:srgbClr val="FF0000"/>
              </a:solidFill>
              <a:latin typeface="Arial"/>
              <a:ea typeface="Arial"/>
              <a:cs typeface="Arial"/>
            </a:rPr>
            <a:t>NOTE: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Input the number of staff desired for each position on each shift.  The number of FTEs is automatically calculated.  </a:t>
          </a:r>
          <a:r>
            <a:rPr lang="en-US" cap="none" sz="800" b="1" i="0" u="none" baseline="0">
              <a:solidFill>
                <a:srgbClr val="000000"/>
              </a:solidFill>
              <a:latin typeface="Arial"/>
              <a:ea typeface="Arial"/>
              <a:cs typeface="Arial"/>
            </a:rPr>
            <a:t>For positions like Managers and SWs, make sure that the FTE calculation equals the desired number of FTEs.</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5.5 FTEs are required to fill annual 24/7 staffing based on 730 12-hour shifts.  This means that if you want to have 1 RN 24/7, you will need 5.5 FTEs.  In this model, you then would divide the 5.5 by 2 (2.75 for each shift).  If you had a 12  or 14 bed unit, you would need at least 2 RNs on each shift or 5.5 on each shift for a total of 11.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Review the summary totals on the bottom of this tab to review your FTE counts.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12</xdr:row>
      <xdr:rowOff>66675</xdr:rowOff>
    </xdr:from>
    <xdr:to>
      <xdr:col>12</xdr:col>
      <xdr:colOff>19050</xdr:colOff>
      <xdr:row>12</xdr:row>
      <xdr:rowOff>66675</xdr:rowOff>
    </xdr:to>
    <xdr:sp>
      <xdr:nvSpPr>
        <xdr:cNvPr id="1" name="Line 4"/>
        <xdr:cNvSpPr>
          <a:spLocks/>
        </xdr:cNvSpPr>
      </xdr:nvSpPr>
      <xdr:spPr>
        <a:xfrm flipH="1">
          <a:off x="2828925" y="1666875"/>
          <a:ext cx="35433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4.vml" /><Relationship Id="rId3"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B29"/>
  <sheetViews>
    <sheetView showGridLines="0" tabSelected="1" zoomScale="113" zoomScaleNormal="113" zoomScalePageLayoutView="0" workbookViewId="0" topLeftCell="A1">
      <selection activeCell="D9" sqref="D9"/>
    </sheetView>
  </sheetViews>
  <sheetFormatPr defaultColWidth="9.140625" defaultRowHeight="12.75"/>
  <cols>
    <col min="1" max="1" width="20.8515625" style="42" customWidth="1"/>
    <col min="2" max="2" width="40.00390625" style="42" customWidth="1"/>
    <col min="3" max="16384" width="9.140625" style="42" customWidth="1"/>
  </cols>
  <sheetData>
    <row r="1" ht="30" customHeight="1">
      <c r="A1" s="283" t="s">
        <v>406</v>
      </c>
    </row>
    <row r="2" ht="30" customHeight="1">
      <c r="A2" s="283"/>
    </row>
    <row r="3" spans="1:2" ht="16.5" customHeight="1">
      <c r="A3" s="41" t="s">
        <v>391</v>
      </c>
      <c r="B3" s="286" t="s">
        <v>399</v>
      </c>
    </row>
    <row r="4" spans="1:2" ht="12.75">
      <c r="A4" s="41" t="s">
        <v>157</v>
      </c>
      <c r="B4" s="286" t="s">
        <v>409</v>
      </c>
    </row>
    <row r="5" spans="1:2" ht="12.75">
      <c r="A5" s="41" t="s">
        <v>158</v>
      </c>
      <c r="B5" s="81" t="s">
        <v>168</v>
      </c>
    </row>
    <row r="6" spans="1:2" ht="12.75">
      <c r="A6" s="41" t="s">
        <v>165</v>
      </c>
      <c r="B6" s="286" t="s">
        <v>404</v>
      </c>
    </row>
    <row r="7" spans="1:2" ht="12.75">
      <c r="A7" s="41" t="s">
        <v>166</v>
      </c>
      <c r="B7" s="286" t="s">
        <v>405</v>
      </c>
    </row>
    <row r="8" ht="12.75"/>
    <row r="9" ht="12.75">
      <c r="A9" s="82" t="s">
        <v>159</v>
      </c>
    </row>
    <row r="10" ht="12.75"/>
    <row r="11" spans="1:2" ht="12.75">
      <c r="A11" s="41" t="s">
        <v>278</v>
      </c>
      <c r="B11" s="288">
        <v>20</v>
      </c>
    </row>
    <row r="12" ht="12.75"/>
    <row r="13" ht="12.75"/>
    <row r="14" ht="12.75"/>
    <row r="15" ht="12.75"/>
    <row r="16" ht="12.75"/>
    <row r="17" ht="12.75"/>
    <row r="18" ht="12.75">
      <c r="B18" s="83" t="s">
        <v>288</v>
      </c>
    </row>
    <row r="19" ht="9.75" customHeight="1"/>
    <row r="20" ht="12" customHeight="1"/>
    <row r="21" ht="12.75"/>
    <row r="22" ht="12.75"/>
    <row r="23" ht="9.75" customHeight="1"/>
    <row r="24" ht="12.75"/>
    <row r="25" ht="12.75">
      <c r="B25" s="84" t="s">
        <v>289</v>
      </c>
    </row>
    <row r="26" ht="12.75"/>
    <row r="29" ht="12">
      <c r="B29" s="282"/>
    </row>
  </sheetData>
  <sheetProtection password="DFED" sheet="1" objects="1" scenarios="1"/>
  <printOptions/>
  <pageMargins left="0.75" right="0.75" top="1" bottom="1" header="0.5" footer="0.5"/>
  <pageSetup horizontalDpi="600" verticalDpi="600" orientation="portrait" r:id="rId4"/>
  <drawing r:id="rId3"/>
  <legacyDrawing r:id="rId2"/>
</worksheet>
</file>

<file path=xl/worksheets/sheet10.xml><?xml version="1.0" encoding="utf-8"?>
<worksheet xmlns="http://schemas.openxmlformats.org/spreadsheetml/2006/main" xmlns:r="http://schemas.openxmlformats.org/officeDocument/2006/relationships">
  <sheetPr>
    <tabColor indexed="18"/>
  </sheetPr>
  <dimension ref="A1:R49"/>
  <sheetViews>
    <sheetView showGridLines="0" zoomScalePageLayoutView="0" workbookViewId="0" topLeftCell="A1">
      <selection activeCell="I1" sqref="I1"/>
    </sheetView>
  </sheetViews>
  <sheetFormatPr defaultColWidth="9.140625" defaultRowHeight="12.75"/>
  <cols>
    <col min="1" max="1" width="4.421875" style="42" customWidth="1"/>
    <col min="2" max="2" width="3.28125" style="42" customWidth="1"/>
    <col min="3" max="8" width="9.140625" style="42" customWidth="1"/>
    <col min="9" max="9" width="10.28125" style="42" customWidth="1"/>
    <col min="10" max="16384" width="9.140625" style="42" customWidth="1"/>
  </cols>
  <sheetData>
    <row r="1" spans="1:11" ht="12.75">
      <c r="A1" s="149" t="s">
        <v>291</v>
      </c>
      <c r="I1" s="43" t="s">
        <v>160</v>
      </c>
      <c r="J1" s="44" t="str">
        <f>Name</f>
        <v>Sunny Day Hospice</v>
      </c>
      <c r="K1" s="45"/>
    </row>
    <row r="2" spans="1:11" ht="12">
      <c r="A2" s="42" t="s">
        <v>82</v>
      </c>
      <c r="I2" s="43" t="s">
        <v>161</v>
      </c>
      <c r="J2" s="44" t="str">
        <f>CON.Number</f>
        <v>XX-XXX</v>
      </c>
      <c r="K2" s="45"/>
    </row>
    <row r="3" spans="9:11" ht="12">
      <c r="I3" s="43" t="s">
        <v>162</v>
      </c>
      <c r="J3" s="46" t="s">
        <v>164</v>
      </c>
      <c r="K3" s="47" t="str">
        <f>state</f>
        <v>GA</v>
      </c>
    </row>
    <row r="4" spans="2:18" ht="12">
      <c r="B4" s="34"/>
      <c r="C4" s="34"/>
      <c r="D4" s="34"/>
      <c r="E4" s="34"/>
      <c r="F4" s="34"/>
      <c r="G4" s="34"/>
      <c r="H4" s="34"/>
      <c r="I4" s="43" t="s">
        <v>163</v>
      </c>
      <c r="J4" s="48">
        <v>1</v>
      </c>
      <c r="K4" s="49" t="str">
        <f>Submission.Date</f>
        <v>3/30/17</v>
      </c>
      <c r="L4" s="34"/>
      <c r="M4" s="34"/>
      <c r="N4" s="34"/>
      <c r="O4" s="34"/>
      <c r="P4" s="34"/>
      <c r="Q4" s="34"/>
      <c r="R4" s="34"/>
    </row>
    <row r="5" spans="1:18" ht="12.75">
      <c r="A5" s="165" t="s">
        <v>294</v>
      </c>
      <c r="B5" s="34"/>
      <c r="C5" s="34"/>
      <c r="D5" s="34"/>
      <c r="E5" s="34"/>
      <c r="F5" s="34"/>
      <c r="G5" s="34"/>
      <c r="H5" s="34"/>
      <c r="I5" s="164"/>
      <c r="J5" s="164"/>
      <c r="K5" s="50"/>
      <c r="L5" s="34"/>
      <c r="M5" s="34"/>
      <c r="N5" s="34"/>
      <c r="O5" s="34"/>
      <c r="P5" s="34"/>
      <c r="Q5" s="34"/>
      <c r="R5" s="34"/>
    </row>
    <row r="6" spans="2:18" ht="12">
      <c r="B6" s="34"/>
      <c r="C6" s="34"/>
      <c r="D6" s="34"/>
      <c r="E6" s="34"/>
      <c r="F6" s="34"/>
      <c r="G6" s="34"/>
      <c r="H6" s="34"/>
      <c r="I6" s="164"/>
      <c r="J6" s="164"/>
      <c r="K6" s="50"/>
      <c r="L6" s="34"/>
      <c r="M6" s="34"/>
      <c r="N6" s="34"/>
      <c r="O6" s="34"/>
      <c r="P6" s="34"/>
      <c r="Q6" s="34"/>
      <c r="R6" s="34"/>
    </row>
    <row r="7" spans="2:18" ht="12">
      <c r="B7" s="34"/>
      <c r="C7" s="150" t="s">
        <v>83</v>
      </c>
      <c r="D7" s="150" t="s">
        <v>84</v>
      </c>
      <c r="E7" s="150" t="s">
        <v>43</v>
      </c>
      <c r="F7" s="150" t="s">
        <v>83</v>
      </c>
      <c r="G7" s="150" t="s">
        <v>84</v>
      </c>
      <c r="H7" s="34"/>
      <c r="I7" s="34"/>
      <c r="J7" s="34"/>
      <c r="K7" s="34"/>
      <c r="L7" s="34"/>
      <c r="M7" s="34"/>
      <c r="N7" s="34"/>
      <c r="O7" s="34"/>
      <c r="P7" s="34"/>
      <c r="Q7" s="34"/>
      <c r="R7" s="34"/>
    </row>
    <row r="8" spans="2:18" ht="12">
      <c r="B8" s="34"/>
      <c r="C8" s="151" t="s">
        <v>85</v>
      </c>
      <c r="D8" s="151" t="s">
        <v>86</v>
      </c>
      <c r="E8" s="151" t="s">
        <v>86</v>
      </c>
      <c r="F8" s="151" t="s">
        <v>87</v>
      </c>
      <c r="G8" s="151" t="s">
        <v>86</v>
      </c>
      <c r="H8" s="34"/>
      <c r="I8" s="34"/>
      <c r="J8" s="34"/>
      <c r="K8" s="34"/>
      <c r="L8" s="34"/>
      <c r="M8" s="34"/>
      <c r="N8" s="34"/>
      <c r="O8" s="34"/>
      <c r="P8" s="34"/>
      <c r="Q8" s="34"/>
      <c r="R8" s="34"/>
    </row>
    <row r="9" spans="2:18" ht="12">
      <c r="B9" s="34"/>
      <c r="C9" s="152" t="s">
        <v>88</v>
      </c>
      <c r="D9" s="152" t="s">
        <v>89</v>
      </c>
      <c r="E9" s="152" t="s">
        <v>90</v>
      </c>
      <c r="F9" s="152" t="s">
        <v>90</v>
      </c>
      <c r="G9" s="152" t="s">
        <v>90</v>
      </c>
      <c r="H9" s="34"/>
      <c r="I9" s="34"/>
      <c r="J9" s="34"/>
      <c r="K9" s="34"/>
      <c r="L9" s="34"/>
      <c r="M9" s="34"/>
      <c r="N9" s="34"/>
      <c r="O9" s="34"/>
      <c r="P9" s="34"/>
      <c r="Q9" s="34"/>
      <c r="R9" s="34"/>
    </row>
    <row r="10" spans="2:18" ht="12">
      <c r="B10" s="34"/>
      <c r="C10" s="153">
        <v>12</v>
      </c>
      <c r="D10" s="153">
        <v>2</v>
      </c>
      <c r="E10" s="136">
        <v>365</v>
      </c>
      <c r="F10" s="136">
        <f>24*365</f>
        <v>8760</v>
      </c>
      <c r="G10" s="136">
        <f>D10*E10</f>
        <v>730</v>
      </c>
      <c r="H10" s="34"/>
      <c r="I10" s="34"/>
      <c r="J10" s="34"/>
      <c r="K10" s="34"/>
      <c r="L10" s="34"/>
      <c r="M10" s="34"/>
      <c r="N10" s="34"/>
      <c r="O10" s="34"/>
      <c r="P10" s="34"/>
      <c r="Q10" s="34"/>
      <c r="R10" s="34"/>
    </row>
    <row r="11" spans="2:18" ht="12">
      <c r="B11" s="34"/>
      <c r="C11" s="136"/>
      <c r="D11" s="136"/>
      <c r="E11" s="136"/>
      <c r="F11" s="136"/>
      <c r="G11" s="136"/>
      <c r="H11" s="34"/>
      <c r="I11" s="34"/>
      <c r="J11" s="34"/>
      <c r="K11" s="34"/>
      <c r="L11" s="34"/>
      <c r="M11" s="34"/>
      <c r="N11" s="34"/>
      <c r="O11" s="34"/>
      <c r="P11" s="34"/>
      <c r="Q11" s="34"/>
      <c r="R11" s="34"/>
    </row>
    <row r="12" spans="2:18" ht="12">
      <c r="B12" s="34"/>
      <c r="C12" s="136"/>
      <c r="D12" s="136"/>
      <c r="E12" s="136"/>
      <c r="F12" s="136"/>
      <c r="G12" s="136"/>
      <c r="H12" s="34"/>
      <c r="I12" s="34"/>
      <c r="J12" s="34"/>
      <c r="K12" s="34"/>
      <c r="L12" s="34"/>
      <c r="M12" s="34"/>
      <c r="N12" s="34"/>
      <c r="O12" s="34"/>
      <c r="P12" s="34"/>
      <c r="Q12" s="34"/>
      <c r="R12" s="34"/>
    </row>
    <row r="13" spans="2:18" ht="12">
      <c r="B13" s="136"/>
      <c r="C13" s="150" t="s">
        <v>96</v>
      </c>
      <c r="D13" s="136"/>
      <c r="E13" s="136"/>
      <c r="F13" s="136"/>
      <c r="G13" s="150"/>
      <c r="H13" s="150" t="s">
        <v>97</v>
      </c>
      <c r="I13" s="150" t="s">
        <v>84</v>
      </c>
      <c r="J13" s="136"/>
      <c r="K13" s="136"/>
      <c r="L13" s="136"/>
      <c r="M13" s="136"/>
      <c r="N13" s="136"/>
      <c r="O13" s="136"/>
      <c r="P13" s="136"/>
      <c r="Q13" s="136"/>
      <c r="R13" s="136"/>
    </row>
    <row r="14" spans="2:18" ht="12">
      <c r="B14" s="136"/>
      <c r="C14" s="151" t="s">
        <v>84</v>
      </c>
      <c r="D14" s="150"/>
      <c r="E14" s="150"/>
      <c r="F14" s="150" t="s">
        <v>98</v>
      </c>
      <c r="G14" s="151"/>
      <c r="H14" s="151" t="s">
        <v>84</v>
      </c>
      <c r="I14" s="151" t="s">
        <v>99</v>
      </c>
      <c r="J14" s="136"/>
      <c r="K14" s="136"/>
      <c r="L14" s="136"/>
      <c r="M14" s="136"/>
      <c r="N14" s="136"/>
      <c r="O14" s="136"/>
      <c r="P14" s="136"/>
      <c r="Q14" s="136"/>
      <c r="R14" s="136"/>
    </row>
    <row r="15" spans="2:18" ht="12">
      <c r="B15" s="136"/>
      <c r="C15" s="151" t="s">
        <v>292</v>
      </c>
      <c r="D15" s="151" t="s">
        <v>98</v>
      </c>
      <c r="E15" s="151" t="s">
        <v>98</v>
      </c>
      <c r="F15" s="151" t="s">
        <v>100</v>
      </c>
      <c r="G15" s="151" t="s">
        <v>98</v>
      </c>
      <c r="H15" s="151" t="s">
        <v>101</v>
      </c>
      <c r="I15" s="151" t="s">
        <v>102</v>
      </c>
      <c r="J15" s="136"/>
      <c r="K15" s="136"/>
      <c r="L15" s="136"/>
      <c r="M15" s="136"/>
      <c r="N15" s="136"/>
      <c r="O15" s="136"/>
      <c r="P15" s="136"/>
      <c r="Q15" s="136"/>
      <c r="R15" s="136"/>
    </row>
    <row r="16" spans="2:18" ht="12">
      <c r="B16" s="136"/>
      <c r="C16" s="152" t="s">
        <v>293</v>
      </c>
      <c r="D16" s="152" t="s">
        <v>103</v>
      </c>
      <c r="E16" s="152" t="s">
        <v>104</v>
      </c>
      <c r="F16" s="152" t="s">
        <v>43</v>
      </c>
      <c r="G16" s="152" t="s">
        <v>105</v>
      </c>
      <c r="H16" s="152" t="s">
        <v>106</v>
      </c>
      <c r="I16" s="152" t="s">
        <v>107</v>
      </c>
      <c r="J16" s="136"/>
      <c r="K16" s="136"/>
      <c r="L16" s="136"/>
      <c r="M16" s="136"/>
      <c r="N16" s="136"/>
      <c r="O16" s="136"/>
      <c r="P16" s="136"/>
      <c r="Q16" s="136"/>
      <c r="R16" s="136"/>
    </row>
    <row r="17" spans="2:18" ht="12">
      <c r="B17" s="136"/>
      <c r="C17" s="136">
        <f>3*52</f>
        <v>156</v>
      </c>
      <c r="D17" s="156">
        <v>10</v>
      </c>
      <c r="E17" s="156">
        <v>8</v>
      </c>
      <c r="F17" s="156">
        <v>2</v>
      </c>
      <c r="G17" s="156">
        <v>5</v>
      </c>
      <c r="H17" s="136">
        <f>C17-D17-E17-F17-G17</f>
        <v>131</v>
      </c>
      <c r="I17" s="136">
        <f>C17-H17</f>
        <v>25</v>
      </c>
      <c r="J17" s="136"/>
      <c r="K17" s="136"/>
      <c r="L17" s="136"/>
      <c r="M17" s="136"/>
      <c r="N17" s="136"/>
      <c r="O17" s="136"/>
      <c r="P17" s="136"/>
      <c r="Q17" s="136"/>
      <c r="R17" s="136"/>
    </row>
    <row r="18" spans="2:18" ht="12">
      <c r="B18" s="34"/>
      <c r="C18" s="34"/>
      <c r="D18" s="34"/>
      <c r="E18" s="34"/>
      <c r="F18" s="34"/>
      <c r="G18" s="34"/>
      <c r="H18" s="34"/>
      <c r="I18" s="34"/>
      <c r="J18" s="34"/>
      <c r="K18" s="34"/>
      <c r="L18" s="34"/>
      <c r="M18" s="34"/>
      <c r="N18" s="34"/>
      <c r="O18" s="34"/>
      <c r="P18" s="34"/>
      <c r="Q18" s="34"/>
      <c r="R18" s="34"/>
    </row>
    <row r="19" spans="2:18" ht="12">
      <c r="B19" s="34"/>
      <c r="C19" s="34" t="s">
        <v>108</v>
      </c>
      <c r="D19" s="34"/>
      <c r="E19" s="34"/>
      <c r="F19" s="34"/>
      <c r="G19" s="34"/>
      <c r="H19" s="34"/>
      <c r="I19" s="34"/>
      <c r="J19" s="34"/>
      <c r="K19" s="34"/>
      <c r="L19" s="34"/>
      <c r="M19" s="34"/>
      <c r="N19" s="34"/>
      <c r="O19" s="34"/>
      <c r="P19" s="34"/>
      <c r="Q19" s="34"/>
      <c r="R19" s="34"/>
    </row>
    <row r="20" spans="2:18" ht="12">
      <c r="B20" s="34"/>
      <c r="C20" s="34" t="s">
        <v>109</v>
      </c>
      <c r="D20" s="34"/>
      <c r="E20" s="34"/>
      <c r="F20" s="34"/>
      <c r="G20" s="34"/>
      <c r="H20" s="34"/>
      <c r="I20" s="34"/>
      <c r="J20" s="34"/>
      <c r="K20" s="34"/>
      <c r="L20" s="34"/>
      <c r="M20" s="34"/>
      <c r="N20" s="34"/>
      <c r="O20" s="34"/>
      <c r="P20" s="34"/>
      <c r="Q20" s="34"/>
      <c r="R20" s="34"/>
    </row>
    <row r="21" spans="2:18" ht="12">
      <c r="B21" s="34"/>
      <c r="C21" s="34"/>
      <c r="D21" s="34"/>
      <c r="E21" s="34"/>
      <c r="F21" s="34"/>
      <c r="G21" s="34"/>
      <c r="H21" s="34"/>
      <c r="I21" s="34"/>
      <c r="J21" s="34"/>
      <c r="K21" s="34"/>
      <c r="L21" s="34"/>
      <c r="M21" s="34"/>
      <c r="N21" s="34"/>
      <c r="O21" s="34"/>
      <c r="P21" s="34"/>
      <c r="Q21" s="34"/>
      <c r="R21" s="34"/>
    </row>
    <row r="22" spans="2:18" ht="12">
      <c r="B22" s="34"/>
      <c r="C22" s="150" t="s">
        <v>84</v>
      </c>
      <c r="D22" s="150" t="s">
        <v>84</v>
      </c>
      <c r="E22" s="150" t="s">
        <v>91</v>
      </c>
      <c r="F22" s="136"/>
      <c r="G22" s="136"/>
      <c r="H22" s="34"/>
      <c r="I22" s="34"/>
      <c r="J22" s="34"/>
      <c r="K22" s="34"/>
      <c r="L22" s="34"/>
      <c r="M22" s="34"/>
      <c r="N22" s="34"/>
      <c r="O22" s="34"/>
      <c r="P22" s="34"/>
      <c r="Q22" s="34"/>
      <c r="R22" s="34"/>
    </row>
    <row r="23" spans="2:18" ht="12">
      <c r="B23" s="34"/>
      <c r="C23" s="151" t="s">
        <v>86</v>
      </c>
      <c r="D23" s="151" t="s">
        <v>92</v>
      </c>
      <c r="E23" s="151" t="s">
        <v>93</v>
      </c>
      <c r="F23" s="136"/>
      <c r="G23" s="136"/>
      <c r="H23" s="34"/>
      <c r="I23" s="34"/>
      <c r="J23" s="34"/>
      <c r="K23" s="34"/>
      <c r="L23" s="34"/>
      <c r="M23" s="34"/>
      <c r="N23" s="34"/>
      <c r="O23" s="34"/>
      <c r="P23" s="34"/>
      <c r="Q23" s="34"/>
      <c r="R23" s="34"/>
    </row>
    <row r="24" spans="2:18" ht="12">
      <c r="B24" s="34"/>
      <c r="C24" s="152" t="s">
        <v>90</v>
      </c>
      <c r="D24" s="152" t="s">
        <v>94</v>
      </c>
      <c r="E24" s="152"/>
      <c r="F24" s="136"/>
      <c r="G24" s="136"/>
      <c r="H24" s="34"/>
      <c r="I24" s="34"/>
      <c r="J24" s="34"/>
      <c r="K24" s="34"/>
      <c r="L24" s="34"/>
      <c r="M24" s="34"/>
      <c r="N24" s="34"/>
      <c r="O24" s="34"/>
      <c r="P24" s="34"/>
      <c r="Q24" s="34"/>
      <c r="R24" s="34"/>
    </row>
    <row r="25" spans="2:18" ht="12">
      <c r="B25" s="34"/>
      <c r="C25" s="136">
        <f>G10</f>
        <v>730</v>
      </c>
      <c r="D25" s="136">
        <f>H17</f>
        <v>131</v>
      </c>
      <c r="E25" s="154">
        <f>C25/D25</f>
        <v>5.572519083969466</v>
      </c>
      <c r="F25" s="155" t="s">
        <v>95</v>
      </c>
      <c r="G25" s="136"/>
      <c r="H25" s="34"/>
      <c r="I25" s="34"/>
      <c r="J25" s="34"/>
      <c r="K25" s="34"/>
      <c r="L25" s="34"/>
      <c r="M25" s="34"/>
      <c r="N25" s="34"/>
      <c r="O25" s="34"/>
      <c r="P25" s="34"/>
      <c r="Q25" s="34"/>
      <c r="R25" s="34"/>
    </row>
    <row r="26" spans="2:18" ht="12">
      <c r="B26" s="34"/>
      <c r="C26" s="34"/>
      <c r="D26" s="34"/>
      <c r="E26" s="34"/>
      <c r="F26" s="34"/>
      <c r="G26" s="34"/>
      <c r="H26" s="34"/>
      <c r="I26" s="34"/>
      <c r="J26" s="34"/>
      <c r="K26" s="34"/>
      <c r="L26" s="34"/>
      <c r="M26" s="34"/>
      <c r="N26" s="34"/>
      <c r="O26" s="34"/>
      <c r="P26" s="34"/>
      <c r="Q26" s="34"/>
      <c r="R26" s="34"/>
    </row>
    <row r="27" spans="1:18" ht="12.75">
      <c r="A27" s="165" t="s">
        <v>295</v>
      </c>
      <c r="B27" s="34"/>
      <c r="C27" s="34"/>
      <c r="D27" s="34"/>
      <c r="E27" s="34"/>
      <c r="F27" s="34"/>
      <c r="G27" s="34"/>
      <c r="H27" s="34"/>
      <c r="I27" s="164"/>
      <c r="J27" s="164"/>
      <c r="K27" s="34"/>
      <c r="L27" s="34"/>
      <c r="M27" s="34"/>
      <c r="N27" s="34"/>
      <c r="O27" s="34"/>
      <c r="P27" s="34"/>
      <c r="Q27" s="34"/>
      <c r="R27" s="34"/>
    </row>
    <row r="28" spans="2:18" ht="12">
      <c r="B28" s="34"/>
      <c r="C28" s="34"/>
      <c r="D28" s="34"/>
      <c r="E28" s="34"/>
      <c r="F28" s="34"/>
      <c r="G28" s="34"/>
      <c r="H28" s="34"/>
      <c r="I28" s="164"/>
      <c r="J28" s="164"/>
      <c r="K28" s="34"/>
      <c r="L28" s="34"/>
      <c r="M28" s="34"/>
      <c r="N28" s="34"/>
      <c r="O28" s="34"/>
      <c r="P28" s="34"/>
      <c r="Q28" s="34"/>
      <c r="R28" s="34"/>
    </row>
    <row r="29" spans="2:18" ht="12">
      <c r="B29" s="34"/>
      <c r="C29" s="150" t="s">
        <v>83</v>
      </c>
      <c r="D29" s="150" t="s">
        <v>84</v>
      </c>
      <c r="E29" s="150" t="s">
        <v>43</v>
      </c>
      <c r="F29" s="150" t="s">
        <v>83</v>
      </c>
      <c r="G29" s="150" t="s">
        <v>84</v>
      </c>
      <c r="H29" s="34"/>
      <c r="I29" s="34"/>
      <c r="J29" s="34"/>
      <c r="K29" s="34"/>
      <c r="L29" s="34"/>
      <c r="M29" s="34"/>
      <c r="N29" s="34"/>
      <c r="O29" s="34"/>
      <c r="P29" s="34"/>
      <c r="Q29" s="34"/>
      <c r="R29" s="34"/>
    </row>
    <row r="30" spans="2:18" ht="12">
      <c r="B30" s="34"/>
      <c r="C30" s="151" t="s">
        <v>85</v>
      </c>
      <c r="D30" s="151" t="s">
        <v>86</v>
      </c>
      <c r="E30" s="151" t="s">
        <v>86</v>
      </c>
      <c r="F30" s="151" t="s">
        <v>87</v>
      </c>
      <c r="G30" s="151" t="s">
        <v>86</v>
      </c>
      <c r="H30" s="34"/>
      <c r="I30" s="34"/>
      <c r="J30" s="34"/>
      <c r="K30" s="34"/>
      <c r="L30" s="34"/>
      <c r="M30" s="34"/>
      <c r="N30" s="34"/>
      <c r="O30" s="34"/>
      <c r="P30" s="34"/>
      <c r="Q30" s="34"/>
      <c r="R30" s="34"/>
    </row>
    <row r="31" spans="2:18" ht="12">
      <c r="B31" s="34"/>
      <c r="C31" s="152" t="s">
        <v>88</v>
      </c>
      <c r="D31" s="152" t="s">
        <v>89</v>
      </c>
      <c r="E31" s="152" t="s">
        <v>90</v>
      </c>
      <c r="F31" s="152" t="s">
        <v>90</v>
      </c>
      <c r="G31" s="152" t="s">
        <v>90</v>
      </c>
      <c r="H31" s="34"/>
      <c r="I31" s="34"/>
      <c r="J31" s="34"/>
      <c r="K31" s="34"/>
      <c r="L31" s="34"/>
      <c r="M31" s="34"/>
      <c r="N31" s="34"/>
      <c r="O31" s="34"/>
      <c r="P31" s="34"/>
      <c r="Q31" s="34"/>
      <c r="R31" s="34"/>
    </row>
    <row r="32" spans="2:18" ht="12">
      <c r="B32" s="34"/>
      <c r="C32" s="153">
        <v>8</v>
      </c>
      <c r="D32" s="153">
        <v>3</v>
      </c>
      <c r="E32" s="136">
        <v>365</v>
      </c>
      <c r="F32" s="136">
        <f>24*365</f>
        <v>8760</v>
      </c>
      <c r="G32" s="136">
        <f>D32*E32</f>
        <v>1095</v>
      </c>
      <c r="H32" s="34"/>
      <c r="I32" s="34"/>
      <c r="J32" s="34"/>
      <c r="K32" s="34"/>
      <c r="L32" s="34"/>
      <c r="M32" s="34"/>
      <c r="N32" s="34"/>
      <c r="O32" s="34"/>
      <c r="P32" s="34"/>
      <c r="Q32" s="34"/>
      <c r="R32" s="34"/>
    </row>
    <row r="33" spans="2:18" ht="12">
      <c r="B33" s="34"/>
      <c r="C33" s="136"/>
      <c r="D33" s="136"/>
      <c r="E33" s="136"/>
      <c r="F33" s="136"/>
      <c r="G33" s="136"/>
      <c r="H33" s="34"/>
      <c r="I33" s="34"/>
      <c r="J33" s="34"/>
      <c r="K33" s="34"/>
      <c r="L33" s="34"/>
      <c r="M33" s="34"/>
      <c r="N33" s="34"/>
      <c r="O33" s="34"/>
      <c r="P33" s="34"/>
      <c r="Q33" s="34"/>
      <c r="R33" s="34"/>
    </row>
    <row r="34" spans="2:18" ht="12">
      <c r="B34" s="34"/>
      <c r="C34" s="136"/>
      <c r="D34" s="136"/>
      <c r="E34" s="136"/>
      <c r="F34" s="136"/>
      <c r="G34" s="136"/>
      <c r="H34" s="34"/>
      <c r="I34" s="34"/>
      <c r="J34" s="34"/>
      <c r="K34" s="34"/>
      <c r="L34" s="34"/>
      <c r="M34" s="34"/>
      <c r="N34" s="34"/>
      <c r="O34" s="34"/>
      <c r="P34" s="34"/>
      <c r="Q34" s="34"/>
      <c r="R34" s="34"/>
    </row>
    <row r="35" spans="2:18" ht="12">
      <c r="B35" s="136"/>
      <c r="C35" s="150" t="s">
        <v>96</v>
      </c>
      <c r="D35" s="136"/>
      <c r="E35" s="136"/>
      <c r="F35" s="136"/>
      <c r="G35" s="150"/>
      <c r="H35" s="150" t="s">
        <v>97</v>
      </c>
      <c r="I35" s="150" t="s">
        <v>84</v>
      </c>
      <c r="J35" s="136"/>
      <c r="K35" s="34"/>
      <c r="L35" s="34"/>
      <c r="M35" s="34"/>
      <c r="N35" s="34"/>
      <c r="O35" s="34"/>
      <c r="P35" s="34"/>
      <c r="Q35" s="34"/>
      <c r="R35" s="34"/>
    </row>
    <row r="36" spans="2:18" ht="12">
      <c r="B36" s="136"/>
      <c r="C36" s="151" t="s">
        <v>84</v>
      </c>
      <c r="D36" s="150"/>
      <c r="E36" s="150"/>
      <c r="F36" s="150" t="s">
        <v>98</v>
      </c>
      <c r="G36" s="151"/>
      <c r="H36" s="151" t="s">
        <v>84</v>
      </c>
      <c r="I36" s="151" t="s">
        <v>99</v>
      </c>
      <c r="J36" s="136"/>
      <c r="K36" s="34"/>
      <c r="L36" s="34"/>
      <c r="M36" s="34"/>
      <c r="N36" s="34"/>
      <c r="O36" s="34"/>
      <c r="P36" s="34"/>
      <c r="Q36" s="34"/>
      <c r="R36" s="34"/>
    </row>
    <row r="37" spans="2:18" ht="12">
      <c r="B37" s="136"/>
      <c r="C37" s="151" t="s">
        <v>292</v>
      </c>
      <c r="D37" s="151" t="s">
        <v>98</v>
      </c>
      <c r="E37" s="151" t="s">
        <v>98</v>
      </c>
      <c r="F37" s="151" t="s">
        <v>100</v>
      </c>
      <c r="G37" s="151" t="s">
        <v>98</v>
      </c>
      <c r="H37" s="151" t="s">
        <v>101</v>
      </c>
      <c r="I37" s="151" t="s">
        <v>102</v>
      </c>
      <c r="J37" s="136"/>
      <c r="K37" s="34"/>
      <c r="L37" s="34"/>
      <c r="M37" s="34"/>
      <c r="N37" s="34"/>
      <c r="O37" s="34"/>
      <c r="P37" s="34"/>
      <c r="Q37" s="34"/>
      <c r="R37" s="34"/>
    </row>
    <row r="38" spans="2:18" ht="12">
      <c r="B38" s="136"/>
      <c r="C38" s="152" t="s">
        <v>293</v>
      </c>
      <c r="D38" s="152" t="s">
        <v>103</v>
      </c>
      <c r="E38" s="152" t="s">
        <v>104</v>
      </c>
      <c r="F38" s="152" t="s">
        <v>43</v>
      </c>
      <c r="G38" s="152" t="s">
        <v>105</v>
      </c>
      <c r="H38" s="152" t="s">
        <v>106</v>
      </c>
      <c r="I38" s="152" t="s">
        <v>107</v>
      </c>
      <c r="J38" s="136"/>
      <c r="K38" s="34"/>
      <c r="L38" s="34"/>
      <c r="M38" s="34"/>
      <c r="N38" s="34"/>
      <c r="O38" s="34"/>
      <c r="P38" s="34"/>
      <c r="Q38" s="34"/>
      <c r="R38" s="34"/>
    </row>
    <row r="39" spans="2:18" ht="12">
      <c r="B39" s="136"/>
      <c r="C39" s="136">
        <f>5*52</f>
        <v>260</v>
      </c>
      <c r="D39" s="156">
        <v>10</v>
      </c>
      <c r="E39" s="156">
        <v>8</v>
      </c>
      <c r="F39" s="156">
        <v>2</v>
      </c>
      <c r="G39" s="156">
        <v>5</v>
      </c>
      <c r="H39" s="136">
        <f>C39-D39-E39-F39-G39</f>
        <v>235</v>
      </c>
      <c r="I39" s="136">
        <f>C39-H39</f>
        <v>25</v>
      </c>
      <c r="J39" s="136"/>
      <c r="K39" s="34"/>
      <c r="L39" s="34"/>
      <c r="M39" s="34"/>
      <c r="N39" s="34"/>
      <c r="O39" s="34"/>
      <c r="P39" s="34"/>
      <c r="Q39" s="34"/>
      <c r="R39" s="34"/>
    </row>
    <row r="40" spans="2:18" ht="12">
      <c r="B40" s="34"/>
      <c r="C40" s="34"/>
      <c r="D40" s="34"/>
      <c r="E40" s="34"/>
      <c r="F40" s="34"/>
      <c r="G40" s="34"/>
      <c r="H40" s="34"/>
      <c r="I40" s="34"/>
      <c r="J40" s="34"/>
      <c r="K40" s="34"/>
      <c r="L40" s="34"/>
      <c r="M40" s="34"/>
      <c r="N40" s="34"/>
      <c r="O40" s="34"/>
      <c r="P40" s="34"/>
      <c r="Q40" s="34"/>
      <c r="R40" s="34"/>
    </row>
    <row r="41" spans="2:18" ht="12">
      <c r="B41" s="34"/>
      <c r="C41" s="34" t="s">
        <v>108</v>
      </c>
      <c r="D41" s="34"/>
      <c r="E41" s="34"/>
      <c r="F41" s="34"/>
      <c r="G41" s="34"/>
      <c r="H41" s="34"/>
      <c r="I41" s="34"/>
      <c r="J41" s="34"/>
      <c r="K41" s="34"/>
      <c r="L41" s="34"/>
      <c r="M41" s="34"/>
      <c r="N41" s="34"/>
      <c r="O41" s="34"/>
      <c r="P41" s="34"/>
      <c r="Q41" s="34"/>
      <c r="R41" s="34"/>
    </row>
    <row r="42" spans="2:18" ht="12">
      <c r="B42" s="34"/>
      <c r="C42" s="34" t="s">
        <v>109</v>
      </c>
      <c r="D42" s="34"/>
      <c r="E42" s="34"/>
      <c r="F42" s="34"/>
      <c r="G42" s="34"/>
      <c r="H42" s="34"/>
      <c r="I42" s="34"/>
      <c r="J42" s="34"/>
      <c r="K42" s="34"/>
      <c r="L42" s="34"/>
      <c r="M42" s="34"/>
      <c r="N42" s="34"/>
      <c r="O42" s="34"/>
      <c r="P42" s="34"/>
      <c r="Q42" s="34"/>
      <c r="R42" s="34"/>
    </row>
    <row r="43" spans="2:18" ht="12">
      <c r="B43" s="34"/>
      <c r="C43" s="34"/>
      <c r="D43" s="34"/>
      <c r="E43" s="34"/>
      <c r="F43" s="34"/>
      <c r="G43" s="34"/>
      <c r="H43" s="34"/>
      <c r="I43" s="34"/>
      <c r="J43" s="34"/>
      <c r="K43" s="34"/>
      <c r="L43" s="34"/>
      <c r="M43" s="34"/>
      <c r="N43" s="34"/>
      <c r="O43" s="34"/>
      <c r="P43" s="34"/>
      <c r="Q43" s="34"/>
      <c r="R43" s="34"/>
    </row>
    <row r="44" spans="2:18" ht="12">
      <c r="B44" s="34"/>
      <c r="C44" s="150" t="s">
        <v>84</v>
      </c>
      <c r="D44" s="150" t="s">
        <v>84</v>
      </c>
      <c r="E44" s="150" t="s">
        <v>91</v>
      </c>
      <c r="F44" s="136"/>
      <c r="G44" s="136"/>
      <c r="H44" s="34"/>
      <c r="I44" s="34"/>
      <c r="J44" s="34"/>
      <c r="K44" s="34"/>
      <c r="L44" s="34"/>
      <c r="M44" s="34"/>
      <c r="N44" s="34"/>
      <c r="O44" s="34"/>
      <c r="P44" s="34"/>
      <c r="Q44" s="34"/>
      <c r="R44" s="34"/>
    </row>
    <row r="45" spans="2:18" ht="12">
      <c r="B45" s="34"/>
      <c r="C45" s="151" t="s">
        <v>86</v>
      </c>
      <c r="D45" s="151" t="s">
        <v>92</v>
      </c>
      <c r="E45" s="151" t="s">
        <v>93</v>
      </c>
      <c r="F45" s="136"/>
      <c r="G45" s="136"/>
      <c r="H45" s="34"/>
      <c r="I45" s="34"/>
      <c r="J45" s="34"/>
      <c r="K45" s="34"/>
      <c r="L45" s="34"/>
      <c r="M45" s="34"/>
      <c r="N45" s="34"/>
      <c r="O45" s="34"/>
      <c r="P45" s="34"/>
      <c r="Q45" s="34"/>
      <c r="R45" s="34"/>
    </row>
    <row r="46" spans="2:18" ht="12">
      <c r="B46" s="34"/>
      <c r="C46" s="152" t="s">
        <v>90</v>
      </c>
      <c r="D46" s="152" t="s">
        <v>94</v>
      </c>
      <c r="E46" s="152"/>
      <c r="F46" s="136"/>
      <c r="G46" s="136"/>
      <c r="H46" s="34"/>
      <c r="I46" s="34"/>
      <c r="J46" s="34"/>
      <c r="K46" s="34"/>
      <c r="L46" s="34"/>
      <c r="M46" s="34"/>
      <c r="N46" s="34"/>
      <c r="O46" s="34"/>
      <c r="P46" s="34"/>
      <c r="Q46" s="34"/>
      <c r="R46" s="34"/>
    </row>
    <row r="47" spans="2:18" ht="12">
      <c r="B47" s="34"/>
      <c r="C47" s="136">
        <f>G32</f>
        <v>1095</v>
      </c>
      <c r="D47" s="136">
        <f>H39</f>
        <v>235</v>
      </c>
      <c r="E47" s="154">
        <f>C47/D47</f>
        <v>4.659574468085107</v>
      </c>
      <c r="F47" s="155" t="s">
        <v>95</v>
      </c>
      <c r="G47" s="136"/>
      <c r="H47" s="34"/>
      <c r="I47" s="34"/>
      <c r="J47" s="34"/>
      <c r="K47" s="34"/>
      <c r="L47" s="34"/>
      <c r="M47" s="34"/>
      <c r="N47" s="34"/>
      <c r="O47" s="34"/>
      <c r="P47" s="34"/>
      <c r="Q47" s="34"/>
      <c r="R47" s="34"/>
    </row>
    <row r="48" spans="2:18" ht="12">
      <c r="B48" s="34"/>
      <c r="C48" s="34"/>
      <c r="D48" s="34"/>
      <c r="E48" s="34"/>
      <c r="F48" s="34"/>
      <c r="G48" s="34"/>
      <c r="H48" s="34"/>
      <c r="I48" s="34"/>
      <c r="J48" s="34"/>
      <c r="K48" s="34"/>
      <c r="L48" s="34"/>
      <c r="M48" s="34"/>
      <c r="N48" s="34"/>
      <c r="O48" s="34"/>
      <c r="P48" s="34"/>
      <c r="Q48" s="34"/>
      <c r="R48" s="34"/>
    </row>
    <row r="49" ht="12">
      <c r="C49" s="157" t="str">
        <f>Reserved</f>
        <v>This product was created by Multi-View Incorporated.  It is reserved for the exclusive use of MVI clients. Need help?  828-698-5885</v>
      </c>
    </row>
  </sheetData>
  <sheetProtection password="DFAD" sheet="1" objects="1" scenarios="1"/>
  <printOptions/>
  <pageMargins left="0.5" right="0.5" top="1" bottom="1" header="0.5" footer="0.5"/>
  <pageSetup horizontalDpi="300" verticalDpi="300" orientation="portrait" r:id="rId1"/>
  <headerFooter alignWithMargins="0">
    <oddFooter>&amp;L&amp;F    &amp;A</oddFooter>
  </headerFooter>
</worksheet>
</file>

<file path=xl/worksheets/sheet11.xml><?xml version="1.0" encoding="utf-8"?>
<worksheet xmlns="http://schemas.openxmlformats.org/spreadsheetml/2006/main" xmlns:r="http://schemas.openxmlformats.org/officeDocument/2006/relationships">
  <sheetPr>
    <tabColor indexed="18"/>
  </sheetPr>
  <dimension ref="A1:Q271"/>
  <sheetViews>
    <sheetView showGridLines="0" zoomScalePageLayoutView="0" workbookViewId="0" topLeftCell="A165">
      <selection activeCell="O180" sqref="O180"/>
    </sheetView>
  </sheetViews>
  <sheetFormatPr defaultColWidth="9.140625" defaultRowHeight="12.75"/>
  <cols>
    <col min="1" max="1" width="2.7109375" style="34" customWidth="1"/>
    <col min="2" max="2" width="2.140625" style="34" customWidth="1"/>
    <col min="3" max="3" width="5.421875" style="34" customWidth="1"/>
    <col min="4" max="4" width="2.140625" style="34" customWidth="1"/>
    <col min="5" max="5" width="17.421875" style="34" customWidth="1"/>
    <col min="6" max="6" width="9.57421875" style="34" customWidth="1"/>
    <col min="7" max="7" width="9.8515625" style="34" customWidth="1"/>
    <col min="8" max="8" width="10.7109375" style="34" bestFit="1" customWidth="1"/>
    <col min="9" max="10" width="9.00390625" style="34" customWidth="1"/>
    <col min="11" max="11" width="13.57421875" style="34" customWidth="1"/>
    <col min="12" max="16384" width="9.140625" style="34" customWidth="1"/>
  </cols>
  <sheetData>
    <row r="1" spans="1:13" ht="15">
      <c r="A1" s="117" t="s">
        <v>140</v>
      </c>
      <c r="K1" s="43" t="s">
        <v>160</v>
      </c>
      <c r="L1" s="44" t="str">
        <f>Name</f>
        <v>Sunny Day Hospice</v>
      </c>
      <c r="M1" s="45"/>
    </row>
    <row r="2" spans="11:13" ht="12">
      <c r="K2" s="43" t="s">
        <v>161</v>
      </c>
      <c r="L2" s="44" t="str">
        <f>CON.Number</f>
        <v>XX-XXX</v>
      </c>
      <c r="M2" s="45"/>
    </row>
    <row r="3" spans="11:13" ht="9.75">
      <c r="K3" s="43" t="s">
        <v>162</v>
      </c>
      <c r="L3" s="46" t="s">
        <v>164</v>
      </c>
      <c r="M3" s="47" t="str">
        <f>state</f>
        <v>GA</v>
      </c>
    </row>
    <row r="4" spans="1:13" ht="9.75">
      <c r="A4" s="34" t="s">
        <v>111</v>
      </c>
      <c r="F4" s="104">
        <v>0</v>
      </c>
      <c r="G4" s="104">
        <v>0.03</v>
      </c>
      <c r="H4" s="104">
        <v>0.06</v>
      </c>
      <c r="I4" s="104">
        <v>0.09</v>
      </c>
      <c r="J4" s="104">
        <v>0.12</v>
      </c>
      <c r="K4" s="43" t="s">
        <v>163</v>
      </c>
      <c r="L4" s="48">
        <v>1</v>
      </c>
      <c r="M4" s="49" t="str">
        <f>Submission.Date</f>
        <v>3/30/17</v>
      </c>
    </row>
    <row r="6" spans="1:5" ht="10.5">
      <c r="A6" s="169" t="s">
        <v>301</v>
      </c>
      <c r="E6" s="86" t="s">
        <v>44</v>
      </c>
    </row>
    <row r="7" spans="1:11" ht="10.5">
      <c r="A7" s="118" t="s">
        <v>45</v>
      </c>
      <c r="B7" s="35"/>
      <c r="C7" s="35"/>
      <c r="D7" s="35"/>
      <c r="E7" s="35" t="s">
        <v>46</v>
      </c>
      <c r="F7" s="105" t="str">
        <f>'Pro Forma IS'!G$2</f>
        <v>Year 1</v>
      </c>
      <c r="G7" s="105" t="str">
        <f>'Pro Forma IS'!H$2</f>
        <v>Year 2</v>
      </c>
      <c r="H7" s="105" t="str">
        <f>'Pro Forma IS'!I$2</f>
        <v>Year 3</v>
      </c>
      <c r="I7" s="105" t="str">
        <f>'Pro Forma IS'!J$2</f>
        <v>Year 4</v>
      </c>
      <c r="J7" s="105" t="str">
        <f>'Pro Forma IS'!K$2</f>
        <v>Year 5</v>
      </c>
      <c r="K7" s="35" t="s">
        <v>0</v>
      </c>
    </row>
    <row r="8" spans="2:13" ht="10.5">
      <c r="B8" s="34" t="s">
        <v>47</v>
      </c>
      <c r="E8" s="170">
        <f>2080*49.9</f>
        <v>103792</v>
      </c>
      <c r="F8" s="29">
        <f>($E8*F9*'Pro Forma IS'!$G$10/365)*(1+F$4)</f>
        <v>104108.92213740457</v>
      </c>
      <c r="G8" s="29">
        <f>($E8*G9*'Pro Forma IS'!$H$10/365)*(1+G$4)</f>
        <v>107232.1898015267</v>
      </c>
      <c r="H8" s="29">
        <f>($E8*H9*'Pro Forma IS'!$I$10/365)*(1+H$4)</f>
        <v>110355.45746564885</v>
      </c>
      <c r="I8" s="29">
        <f>($E8*I9*'Pro Forma IS'!$J$10/365)*(1+I$4)</f>
        <v>113478.72512977099</v>
      </c>
      <c r="J8" s="29">
        <f>($E8*J9*'Pro Forma IS'!$K$10/365)*(1+J$4)</f>
        <v>116601.99279389314</v>
      </c>
      <c r="K8" s="29">
        <f>SUM(F8:J8)</f>
        <v>551777.2873282443</v>
      </c>
      <c r="L8" s="290" t="s">
        <v>296</v>
      </c>
      <c r="M8" s="290"/>
    </row>
    <row r="9" spans="3:13" ht="9.75">
      <c r="C9" s="34" t="s">
        <v>91</v>
      </c>
      <c r="E9" s="119"/>
      <c r="F9" s="173">
        <f>F10*FTE12Hour</f>
        <v>1.0030534351145037</v>
      </c>
      <c r="G9" s="173">
        <f>G10*FTE12Hour</f>
        <v>1.0030534351145037</v>
      </c>
      <c r="H9" s="173">
        <f>H10*FTE12Hour</f>
        <v>1.0030534351145037</v>
      </c>
      <c r="I9" s="173">
        <f>I10*FTE12Hour</f>
        <v>1.0030534351145037</v>
      </c>
      <c r="J9" s="173">
        <f>J10*FTE12Hour</f>
        <v>1.0030534351145037</v>
      </c>
      <c r="K9" s="29"/>
      <c r="L9" s="166">
        <f>'FTE Computations'!$E$25</f>
        <v>5.572519083969466</v>
      </c>
      <c r="M9" s="166" t="s">
        <v>297</v>
      </c>
    </row>
    <row r="10" spans="3:13" ht="10.5">
      <c r="C10" s="34" t="s">
        <v>307</v>
      </c>
      <c r="E10" s="119"/>
      <c r="F10" s="175">
        <v>0.36</v>
      </c>
      <c r="G10" s="175">
        <v>0.36</v>
      </c>
      <c r="H10" s="175">
        <v>0.36</v>
      </c>
      <c r="I10" s="175">
        <v>0.36</v>
      </c>
      <c r="J10" s="175">
        <v>0.36</v>
      </c>
      <c r="K10" s="29"/>
      <c r="L10" s="174">
        <f>L9/2</f>
        <v>2.786259541984733</v>
      </c>
      <c r="M10" s="167" t="s">
        <v>298</v>
      </c>
    </row>
    <row r="11" spans="2:13" ht="9.75">
      <c r="B11" s="34" t="s">
        <v>48</v>
      </c>
      <c r="E11" s="170">
        <f>2080*35.89</f>
        <v>74651.2</v>
      </c>
      <c r="F11" s="29">
        <f>($E11*F12*'Pro Forma IS'!$G$10/365)*(1+F$4)</f>
        <v>415995.23664122145</v>
      </c>
      <c r="G11" s="29">
        <f>($E11*G12*'Pro Forma IS'!$H$10/365)*(1+G$4)</f>
        <v>428475.0937404581</v>
      </c>
      <c r="H11" s="29">
        <f>($E11*H12*'Pro Forma IS'!$I$10/365)*(1+H$4)</f>
        <v>440954.95083969476</v>
      </c>
      <c r="I11" s="29">
        <f>($E11*I12*'Pro Forma IS'!$J$10/365)*(1+I$4)</f>
        <v>453434.8079389314</v>
      </c>
      <c r="J11" s="29">
        <f>($E11*J12*'Pro Forma IS'!$K$10/365)*(1+J$4)</f>
        <v>465914.6650381681</v>
      </c>
      <c r="K11" s="29">
        <f>SUM(F11:J11)</f>
        <v>2204774.754198474</v>
      </c>
      <c r="L11" s="167">
        <f>'FTE Computations'!$E$47</f>
        <v>4.659574468085107</v>
      </c>
      <c r="M11" s="168" t="s">
        <v>299</v>
      </c>
    </row>
    <row r="12" spans="3:13" ht="10.5">
      <c r="C12" s="34" t="s">
        <v>91</v>
      </c>
      <c r="E12" s="119"/>
      <c r="F12" s="173">
        <f>F13*FTE12Hour</f>
        <v>5.572519083969466</v>
      </c>
      <c r="G12" s="173">
        <f>G13*FTE12Hour</f>
        <v>5.572519083969466</v>
      </c>
      <c r="H12" s="173">
        <f>H13*FTE12Hour</f>
        <v>5.572519083969466</v>
      </c>
      <c r="I12" s="173">
        <f>I13*FTE12Hour</f>
        <v>5.572519083969466</v>
      </c>
      <c r="J12" s="173">
        <f>J13*FTE12Hour</f>
        <v>5.572519083969466</v>
      </c>
      <c r="K12" s="29"/>
      <c r="L12" s="174">
        <f>L11/3</f>
        <v>1.5531914893617023</v>
      </c>
      <c r="M12" s="168" t="s">
        <v>300</v>
      </c>
    </row>
    <row r="13" spans="3:13" ht="9.75">
      <c r="C13" s="34" t="s">
        <v>307</v>
      </c>
      <c r="E13" s="119"/>
      <c r="F13" s="175">
        <v>2</v>
      </c>
      <c r="G13" s="175">
        <v>2</v>
      </c>
      <c r="H13" s="175">
        <v>2</v>
      </c>
      <c r="I13" s="175">
        <v>2</v>
      </c>
      <c r="J13" s="175">
        <v>2</v>
      </c>
      <c r="K13" s="29"/>
      <c r="L13" s="167"/>
      <c r="M13" s="168"/>
    </row>
    <row r="14" spans="2:11" ht="9.75">
      <c r="B14" s="34" t="s">
        <v>49</v>
      </c>
      <c r="E14" s="170">
        <f>2080*14.69</f>
        <v>30555.2</v>
      </c>
      <c r="F14" s="29">
        <f>($E14*F15*'Pro Forma IS'!$G$10/365)*(1+F$4)</f>
        <v>0</v>
      </c>
      <c r="G14" s="29">
        <f>($E14*G15*'Pro Forma IS'!$H$10/365)*(1+G$4)</f>
        <v>0</v>
      </c>
      <c r="H14" s="29">
        <f>($E14*H15*'Pro Forma IS'!$I$10/365)*(1+H$4)</f>
        <v>0</v>
      </c>
      <c r="I14" s="29">
        <f>($E14*I15*'Pro Forma IS'!$J$10/365)*(1+I$4)</f>
        <v>0</v>
      </c>
      <c r="J14" s="29">
        <f>($E14*J15*'Pro Forma IS'!$K$10/365)*(1+J$4)</f>
        <v>0</v>
      </c>
      <c r="K14" s="29">
        <f>SUM(F14:J14)</f>
        <v>0</v>
      </c>
    </row>
    <row r="15" spans="3:11" ht="9.75">
      <c r="C15" s="34" t="s">
        <v>91</v>
      </c>
      <c r="E15" s="119"/>
      <c r="F15" s="173">
        <f>F16*FTE12Hour</f>
        <v>0</v>
      </c>
      <c r="G15" s="173">
        <f>G16*FTE12Hour</f>
        <v>0</v>
      </c>
      <c r="H15" s="173">
        <f>H16*FTE12Hour</f>
        <v>0</v>
      </c>
      <c r="I15" s="173">
        <f>I16*FTE12Hour</f>
        <v>0</v>
      </c>
      <c r="J15" s="173">
        <f>J16*FTE12Hour</f>
        <v>0</v>
      </c>
      <c r="K15" s="29"/>
    </row>
    <row r="16" spans="3:11" ht="9.75">
      <c r="C16" s="34" t="s">
        <v>307</v>
      </c>
      <c r="E16" s="119"/>
      <c r="F16" s="175">
        <v>0</v>
      </c>
      <c r="G16" s="175">
        <v>0</v>
      </c>
      <c r="H16" s="175">
        <v>0</v>
      </c>
      <c r="I16" s="175">
        <v>0</v>
      </c>
      <c r="J16" s="175">
        <v>0</v>
      </c>
      <c r="K16" s="29"/>
    </row>
    <row r="17" spans="2:11" ht="9.75">
      <c r="B17" s="34" t="s">
        <v>50</v>
      </c>
      <c r="E17" s="170">
        <f>2080*13.02</f>
        <v>27081.6</v>
      </c>
      <c r="F17" s="29">
        <f>($E17*F18*'Pro Forma IS'!$G$10/365)*(1+F$4)</f>
        <v>150912.73282442748</v>
      </c>
      <c r="G17" s="29">
        <f>($E17*G18*'Pro Forma IS'!$H$10/365)*(1+G$4)</f>
        <v>155440.11480916032</v>
      </c>
      <c r="H17" s="29">
        <f>($E17*H18*'Pro Forma IS'!$I$10/365)*(1+H$4)</f>
        <v>159967.49679389314</v>
      </c>
      <c r="I17" s="29">
        <f>($E17*I18*'Pro Forma IS'!$J$10/365)*(1+I$4)</f>
        <v>164494.87877862598</v>
      </c>
      <c r="J17" s="29">
        <f>($E17*J18*'Pro Forma IS'!$K$10/365)*(1+J$4)</f>
        <v>169022.2607633588</v>
      </c>
      <c r="K17" s="29">
        <f>SUM(F17:J17)</f>
        <v>799837.4839694657</v>
      </c>
    </row>
    <row r="18" spans="3:11" ht="9.75">
      <c r="C18" s="34" t="s">
        <v>91</v>
      </c>
      <c r="E18" s="120"/>
      <c r="F18" s="173">
        <f>F19*FTE12Hour</f>
        <v>5.572519083969466</v>
      </c>
      <c r="G18" s="173">
        <f>G19*FTE12Hour</f>
        <v>5.572519083969466</v>
      </c>
      <c r="H18" s="173">
        <f>H19*FTE12Hour</f>
        <v>5.572519083969466</v>
      </c>
      <c r="I18" s="173">
        <f>I19*FTE12Hour</f>
        <v>5.572519083969466</v>
      </c>
      <c r="J18" s="173">
        <f>J19*FTE12Hour</f>
        <v>5.572519083969466</v>
      </c>
      <c r="K18" s="29"/>
    </row>
    <row r="19" spans="3:11" ht="9.75">
      <c r="C19" s="34" t="s">
        <v>307</v>
      </c>
      <c r="E19" s="120"/>
      <c r="F19" s="175">
        <v>2</v>
      </c>
      <c r="G19" s="175">
        <v>2</v>
      </c>
      <c r="H19" s="175">
        <v>2</v>
      </c>
      <c r="I19" s="175">
        <v>2</v>
      </c>
      <c r="J19" s="175">
        <v>2</v>
      </c>
      <c r="K19" s="29"/>
    </row>
    <row r="20" spans="2:11" ht="9.75">
      <c r="B20" s="34" t="s">
        <v>51</v>
      </c>
      <c r="E20" s="170">
        <f>2080*34</f>
        <v>70720</v>
      </c>
      <c r="F20" s="29">
        <f>($E20*F21*'Pro Forma IS'!$G$10/365)*(1+F$4)</f>
        <v>70935.9389312977</v>
      </c>
      <c r="G20" s="29">
        <f>($E20*G21*'Pro Forma IS'!$H$10/365)*(1+G$4)</f>
        <v>73064.01709923663</v>
      </c>
      <c r="H20" s="29">
        <f>($E20*H21*'Pro Forma IS'!$I$10/365)*(1+H$4)</f>
        <v>75192.09526717557</v>
      </c>
      <c r="I20" s="29">
        <f>($E20*I21*'Pro Forma IS'!$J$10/365)*(1+I$4)</f>
        <v>77320.1734351145</v>
      </c>
      <c r="J20" s="29">
        <f>($E20*J21*'Pro Forma IS'!$K$10/365)*(1+J$4)</f>
        <v>79448.25160305343</v>
      </c>
      <c r="K20" s="29">
        <f>SUM(F20:J20)</f>
        <v>375960.47633587784</v>
      </c>
    </row>
    <row r="21" spans="3:11" ht="9.75">
      <c r="C21" s="34" t="s">
        <v>91</v>
      </c>
      <c r="E21" s="120"/>
      <c r="F21" s="173">
        <f>F22*FTE12Hour</f>
        <v>1.0030534351145037</v>
      </c>
      <c r="G21" s="173">
        <f>G22*FTE12Hour</f>
        <v>1.0030534351145037</v>
      </c>
      <c r="H21" s="173">
        <f>H22*FTE12Hour</f>
        <v>1.0030534351145037</v>
      </c>
      <c r="I21" s="173">
        <f>I22*FTE12Hour</f>
        <v>1.0030534351145037</v>
      </c>
      <c r="J21" s="173">
        <f>J22*FTE12Hour</f>
        <v>1.0030534351145037</v>
      </c>
      <c r="K21" s="29"/>
    </row>
    <row r="22" spans="3:11" ht="9.75">
      <c r="C22" s="34" t="s">
        <v>307</v>
      </c>
      <c r="E22" s="120"/>
      <c r="F22" s="175">
        <v>0.36</v>
      </c>
      <c r="G22" s="175">
        <v>0.36</v>
      </c>
      <c r="H22" s="175">
        <v>0.36</v>
      </c>
      <c r="I22" s="175">
        <v>0.36</v>
      </c>
      <c r="J22" s="175">
        <v>0.36</v>
      </c>
      <c r="K22" s="29"/>
    </row>
    <row r="23" spans="2:11" ht="9.75">
      <c r="B23" s="34" t="s">
        <v>52</v>
      </c>
      <c r="E23" s="170">
        <f>2080*24.81</f>
        <v>51604.799999999996</v>
      </c>
      <c r="F23" s="29">
        <f>($E23*F24*'Pro Forma IS'!$G$10/365)*(1+F$4)</f>
        <v>0</v>
      </c>
      <c r="G23" s="29">
        <f>($E23*G24*'Pro Forma IS'!$H$10/365)*(1+G$4)</f>
        <v>0</v>
      </c>
      <c r="H23" s="29">
        <f>($E23*H24*'Pro Forma IS'!$I$10/365)*(1+H$4)</f>
        <v>0</v>
      </c>
      <c r="I23" s="29">
        <f>($E23*I24*'Pro Forma IS'!$J$10/365)*(1+I$4)</f>
        <v>0</v>
      </c>
      <c r="J23" s="29">
        <f>($E23*J24*'Pro Forma IS'!$K$10/365)*(1+J$4)</f>
        <v>0</v>
      </c>
      <c r="K23" s="29">
        <f>SUM(F23:J23)</f>
        <v>0</v>
      </c>
    </row>
    <row r="24" spans="3:11" ht="9.75">
      <c r="C24" s="34" t="s">
        <v>91</v>
      </c>
      <c r="E24" s="120"/>
      <c r="F24" s="173">
        <f>F25*FTE12Hour</f>
        <v>0</v>
      </c>
      <c r="G24" s="173">
        <f>G25*FTE12Hour</f>
        <v>0</v>
      </c>
      <c r="H24" s="173">
        <f>H25*FTE12Hour</f>
        <v>0</v>
      </c>
      <c r="I24" s="173">
        <f>I25*FTE12Hour</f>
        <v>0</v>
      </c>
      <c r="J24" s="173">
        <f>J25*FTE12Hour</f>
        <v>0</v>
      </c>
      <c r="K24" s="29"/>
    </row>
    <row r="25" spans="3:11" ht="9.75">
      <c r="C25" s="34" t="s">
        <v>307</v>
      </c>
      <c r="E25" s="120"/>
      <c r="F25" s="175">
        <v>0</v>
      </c>
      <c r="G25" s="175">
        <v>0</v>
      </c>
      <c r="H25" s="175">
        <v>0</v>
      </c>
      <c r="I25" s="175">
        <v>0</v>
      </c>
      <c r="J25" s="175">
        <v>0</v>
      </c>
      <c r="K25" s="29"/>
    </row>
    <row r="26" spans="2:11" ht="9.75">
      <c r="B26" s="34" t="s">
        <v>53</v>
      </c>
      <c r="E26" s="170">
        <f>2080*13</f>
        <v>27040</v>
      </c>
      <c r="F26" s="29">
        <f>($E26*F27*'Pro Forma IS'!$G$10/365)*(1+F$4)</f>
        <v>90408.54961832061</v>
      </c>
      <c r="G26" s="29">
        <f>($E26*G27*'Pro Forma IS'!$H$10/365)*(1+G$4)</f>
        <v>93120.80610687024</v>
      </c>
      <c r="H26" s="29">
        <f>($E26*H27*'Pro Forma IS'!$I$10/365)*(1+H$4)</f>
        <v>95833.06259541985</v>
      </c>
      <c r="I26" s="29">
        <f>($E26*I27*'Pro Forma IS'!$J$10/365)*(1+I$4)</f>
        <v>98545.31908396947</v>
      </c>
      <c r="J26" s="29">
        <f>($E26*J27*'Pro Forma IS'!$K$10/365)*(1+J$4)</f>
        <v>101257.5755725191</v>
      </c>
      <c r="K26" s="29">
        <f>SUM(F26:J26)</f>
        <v>479165.3129770992</v>
      </c>
    </row>
    <row r="27" spans="3:11" ht="9.75">
      <c r="C27" s="34" t="s">
        <v>91</v>
      </c>
      <c r="E27" s="120"/>
      <c r="F27" s="173">
        <f>F28*FTE12Hour</f>
        <v>3.3435114503816794</v>
      </c>
      <c r="G27" s="173">
        <f>G28*FTE12Hour</f>
        <v>3.3435114503816794</v>
      </c>
      <c r="H27" s="173">
        <f>H28*FTE12Hour</f>
        <v>3.3435114503816794</v>
      </c>
      <c r="I27" s="173">
        <f>I28*FTE12Hour</f>
        <v>3.3435114503816794</v>
      </c>
      <c r="J27" s="173">
        <f>J28*FTE12Hour</f>
        <v>3.3435114503816794</v>
      </c>
      <c r="K27" s="29"/>
    </row>
    <row r="28" spans="3:11" ht="9.75">
      <c r="C28" s="34" t="s">
        <v>307</v>
      </c>
      <c r="E28" s="120"/>
      <c r="F28" s="175">
        <v>1.2</v>
      </c>
      <c r="G28" s="175">
        <v>1.2</v>
      </c>
      <c r="H28" s="175">
        <v>1.2</v>
      </c>
      <c r="I28" s="175">
        <v>1.2</v>
      </c>
      <c r="J28" s="175">
        <v>1.2</v>
      </c>
      <c r="K28" s="29"/>
    </row>
    <row r="29" spans="2:11" ht="9.75">
      <c r="B29" s="208" t="s">
        <v>306</v>
      </c>
      <c r="C29" s="208"/>
      <c r="D29" s="208"/>
      <c r="E29" s="170">
        <v>0</v>
      </c>
      <c r="F29" s="29">
        <f>($E29*F30*'Pro Forma IS'!$G$10/365)*(1+F$4)</f>
        <v>0</v>
      </c>
      <c r="G29" s="29">
        <f>($E29*G30*'Pro Forma IS'!$H$10/365)*(1+G$4)</f>
        <v>0</v>
      </c>
      <c r="H29" s="29">
        <f>($E29*H30*'Pro Forma IS'!$I$10/365)*(1+H$4)</f>
        <v>0</v>
      </c>
      <c r="I29" s="29">
        <f>($E29*I30*'Pro Forma IS'!$J$10/365)*(1+I$4)</f>
        <v>0</v>
      </c>
      <c r="J29" s="29">
        <f>($E29*J30*'Pro Forma IS'!$K$10/365)*(1+J$4)</f>
        <v>0</v>
      </c>
      <c r="K29" s="29">
        <f>SUM(F29:J29)</f>
        <v>0</v>
      </c>
    </row>
    <row r="30" spans="3:11" ht="9.75">
      <c r="C30" s="34" t="s">
        <v>91</v>
      </c>
      <c r="E30" s="120"/>
      <c r="F30" s="173">
        <f>F31*FTE12Hour</f>
        <v>1.0030534351145037</v>
      </c>
      <c r="G30" s="173">
        <f>G31*FTE12Hour</f>
        <v>1.0030534351145037</v>
      </c>
      <c r="H30" s="173">
        <f>H31*FTE12Hour</f>
        <v>1.0030534351145037</v>
      </c>
      <c r="I30" s="173">
        <f>I31*FTE12Hour</f>
        <v>1.0030534351145037</v>
      </c>
      <c r="J30" s="173">
        <f>J31*FTE12Hour</f>
        <v>1.0030534351145037</v>
      </c>
      <c r="K30" s="29"/>
    </row>
    <row r="31" spans="3:11" ht="9.75">
      <c r="C31" s="34" t="s">
        <v>307</v>
      </c>
      <c r="E31" s="120"/>
      <c r="F31" s="175">
        <v>0.36</v>
      </c>
      <c r="G31" s="175">
        <v>0.36</v>
      </c>
      <c r="H31" s="175">
        <v>0.36</v>
      </c>
      <c r="I31" s="175">
        <v>0.36</v>
      </c>
      <c r="J31" s="175">
        <v>0.36</v>
      </c>
      <c r="K31" s="29"/>
    </row>
    <row r="32" spans="5:11" ht="9.75">
      <c r="E32" s="87"/>
      <c r="F32" s="87"/>
      <c r="G32" s="87"/>
      <c r="H32" s="87"/>
      <c r="I32" s="87"/>
      <c r="J32" s="87"/>
      <c r="K32" s="29"/>
    </row>
    <row r="33" spans="2:11" ht="9.75">
      <c r="B33" s="34" t="s">
        <v>55</v>
      </c>
      <c r="E33" s="29"/>
      <c r="F33" s="29">
        <f>F8+F11+F14+F17+F20+F23+F26+F29</f>
        <v>832361.380152672</v>
      </c>
      <c r="G33" s="29">
        <f>G8+G11+G14+G17+G20+G23+G26+G29</f>
        <v>857332.2215572519</v>
      </c>
      <c r="H33" s="29">
        <f>H8+H11+H14+H17+H20+H23+H26+H29</f>
        <v>882303.0629618322</v>
      </c>
      <c r="I33" s="29">
        <f>I8+I11+I14+I17+I20+I23+I26+I29</f>
        <v>907273.9043664123</v>
      </c>
      <c r="J33" s="29">
        <f>J8+J11+J14+J17+J20+J23+J26+J29</f>
        <v>932244.7457709925</v>
      </c>
      <c r="K33" s="29">
        <f>SUM(F33:J33)</f>
        <v>4411515.31480916</v>
      </c>
    </row>
    <row r="34" spans="5:11" ht="9.75">
      <c r="E34" s="29"/>
      <c r="F34" s="29"/>
      <c r="G34" s="29"/>
      <c r="H34" s="29"/>
      <c r="I34" s="29"/>
      <c r="J34" s="29"/>
      <c r="K34" s="29"/>
    </row>
    <row r="35" spans="1:5" ht="10.5">
      <c r="A35" s="169" t="s">
        <v>301</v>
      </c>
      <c r="E35" s="86" t="s">
        <v>44</v>
      </c>
    </row>
    <row r="36" spans="1:11" ht="10.5">
      <c r="A36" s="118" t="s">
        <v>56</v>
      </c>
      <c r="B36" s="35"/>
      <c r="C36" s="35"/>
      <c r="D36" s="35"/>
      <c r="E36" s="35" t="s">
        <v>46</v>
      </c>
      <c r="F36" s="105" t="str">
        <f>'Pro Forma IS'!G$2</f>
        <v>Year 1</v>
      </c>
      <c r="G36" s="105" t="str">
        <f>'Pro Forma IS'!H$2</f>
        <v>Year 2</v>
      </c>
      <c r="H36" s="105" t="str">
        <f>'Pro Forma IS'!I$2</f>
        <v>Year 3</v>
      </c>
      <c r="I36" s="105" t="str">
        <f>'Pro Forma IS'!J$2</f>
        <v>Year 4</v>
      </c>
      <c r="J36" s="105" t="str">
        <f>'Pro Forma IS'!K$2</f>
        <v>Year 5</v>
      </c>
      <c r="K36" s="35" t="s">
        <v>0</v>
      </c>
    </row>
    <row r="37" spans="2:11" ht="9.75">
      <c r="B37" s="34" t="s">
        <v>47</v>
      </c>
      <c r="E37" s="170">
        <v>0</v>
      </c>
      <c r="F37" s="29">
        <f>($E37*F38*'Pro Forma IS'!$G$10/365)*(1+F$4)</f>
        <v>0</v>
      </c>
      <c r="G37" s="29">
        <f>($E37*G38*'Pro Forma IS'!$H$10/365)*(1+G$4)</f>
        <v>0</v>
      </c>
      <c r="H37" s="29">
        <f>($E37*H38*'Pro Forma IS'!$I$10/365)*(1+H$4)</f>
        <v>0</v>
      </c>
      <c r="I37" s="29">
        <f>($E37*I38*'Pro Forma IS'!$J$10/365)*(1+I$4)</f>
        <v>0</v>
      </c>
      <c r="J37" s="29">
        <f>($E37*J38*'Pro Forma IS'!$K$10/365)*(1+J$4)</f>
        <v>0</v>
      </c>
      <c r="K37" s="29">
        <f>SUM(F37:J37)</f>
        <v>0</v>
      </c>
    </row>
    <row r="38" spans="3:11" ht="9.75">
      <c r="C38" s="34" t="s">
        <v>91</v>
      </c>
      <c r="E38" s="120"/>
      <c r="F38" s="173">
        <f>F39*FTE12Hour</f>
        <v>1.0030534351145037</v>
      </c>
      <c r="G38" s="173">
        <f>G39*FTE12Hour</f>
        <v>1.0030534351145037</v>
      </c>
      <c r="H38" s="173">
        <f>H39*FTE12Hour</f>
        <v>1.0030534351145037</v>
      </c>
      <c r="I38" s="173">
        <f>I39*FTE12Hour</f>
        <v>1.0030534351145037</v>
      </c>
      <c r="J38" s="173">
        <f>J39*FTE12Hour</f>
        <v>1.0030534351145037</v>
      </c>
      <c r="K38" s="29"/>
    </row>
    <row r="39" spans="3:11" ht="9.75">
      <c r="C39" s="34" t="s">
        <v>307</v>
      </c>
      <c r="E39" s="120"/>
      <c r="F39" s="175">
        <v>0.36</v>
      </c>
      <c r="G39" s="175">
        <v>0.36</v>
      </c>
      <c r="H39" s="175">
        <v>0.36</v>
      </c>
      <c r="I39" s="175">
        <v>0.36</v>
      </c>
      <c r="J39" s="175">
        <v>0.36</v>
      </c>
      <c r="K39" s="29"/>
    </row>
    <row r="40" spans="2:11" ht="9.75">
      <c r="B40" s="34" t="s">
        <v>48</v>
      </c>
      <c r="E40" s="170">
        <f>2080*(35.89+3)</f>
        <v>80891.2</v>
      </c>
      <c r="F40" s="29">
        <f>($E40*F41*'Pro Forma IS'!$G$10/365)*(1+F$4)</f>
        <v>450767.7557251908</v>
      </c>
      <c r="G40" s="29">
        <f>($E40*G41*'Pro Forma IS'!$H$10/365)*(1+G$4)</f>
        <v>464290.78839694656</v>
      </c>
      <c r="H40" s="29">
        <f>($E40*H41*'Pro Forma IS'!$I$10/365)*(1+H$4)</f>
        <v>477813.82106870227</v>
      </c>
      <c r="I40" s="29">
        <f>($E40*I41*'Pro Forma IS'!$J$10/365)*(1+I$4)</f>
        <v>491336.853740458</v>
      </c>
      <c r="J40" s="29">
        <f>($E40*J41*'Pro Forma IS'!$K$10/365)*(1+J$4)</f>
        <v>504859.88641221373</v>
      </c>
      <c r="K40" s="29">
        <f>SUM(F40:J40)</f>
        <v>2389069.1053435113</v>
      </c>
    </row>
    <row r="41" spans="3:11" ht="9.75">
      <c r="C41" s="34" t="s">
        <v>91</v>
      </c>
      <c r="E41" s="120"/>
      <c r="F41" s="173">
        <f>F42*FTE12Hour</f>
        <v>5.572519083969466</v>
      </c>
      <c r="G41" s="173">
        <f>G42*FTE12Hour</f>
        <v>5.572519083969466</v>
      </c>
      <c r="H41" s="173">
        <f>H42*FTE12Hour</f>
        <v>5.572519083969466</v>
      </c>
      <c r="I41" s="173">
        <f>I42*FTE12Hour</f>
        <v>5.572519083969466</v>
      </c>
      <c r="J41" s="173">
        <f>J42*FTE12Hour</f>
        <v>5.572519083969466</v>
      </c>
      <c r="K41" s="29"/>
    </row>
    <row r="42" spans="3:11" ht="9.75">
      <c r="C42" s="34" t="s">
        <v>307</v>
      </c>
      <c r="E42" s="120"/>
      <c r="F42" s="175">
        <v>2</v>
      </c>
      <c r="G42" s="175">
        <v>2</v>
      </c>
      <c r="H42" s="175">
        <v>2</v>
      </c>
      <c r="I42" s="175">
        <v>2</v>
      </c>
      <c r="J42" s="175">
        <v>2</v>
      </c>
      <c r="K42" s="29"/>
    </row>
    <row r="43" spans="2:11" ht="9.75">
      <c r="B43" s="34" t="s">
        <v>49</v>
      </c>
      <c r="E43" s="170">
        <f>2080*(14.69+2)</f>
        <v>34715.2</v>
      </c>
      <c r="F43" s="29">
        <f>($E43*F44*'Pro Forma IS'!$G$10/365)*(1+F$4)</f>
        <v>0</v>
      </c>
      <c r="G43" s="29">
        <f>($E43*G44*'Pro Forma IS'!$H$10/365)*(1+G$4)</f>
        <v>0</v>
      </c>
      <c r="H43" s="29">
        <f>($E43*H44*'Pro Forma IS'!$I$10/365)*(1+H$4)</f>
        <v>0</v>
      </c>
      <c r="I43" s="29">
        <f>($E43*I44*'Pro Forma IS'!$J$10/365)*(1+I$4)</f>
        <v>0</v>
      </c>
      <c r="J43" s="29">
        <f>($E43*J44*'Pro Forma IS'!$K$10/365)*(1+J$4)</f>
        <v>0</v>
      </c>
      <c r="K43" s="29">
        <f>SUM(F43:J43)</f>
        <v>0</v>
      </c>
    </row>
    <row r="44" spans="3:11" ht="9.75">
      <c r="C44" s="34" t="s">
        <v>91</v>
      </c>
      <c r="E44" s="120"/>
      <c r="F44" s="173">
        <f>F45*FTE12Hour</f>
        <v>0</v>
      </c>
      <c r="G44" s="173">
        <f>G45*FTE12Hour</f>
        <v>0</v>
      </c>
      <c r="H44" s="173">
        <f>H45*FTE12Hour</f>
        <v>0</v>
      </c>
      <c r="I44" s="173">
        <f>I45*FTE12Hour</f>
        <v>0</v>
      </c>
      <c r="J44" s="173">
        <f>J45*FTE12Hour</f>
        <v>0</v>
      </c>
      <c r="K44" s="29"/>
    </row>
    <row r="45" spans="3:11" ht="9.75">
      <c r="C45" s="34" t="s">
        <v>307</v>
      </c>
      <c r="E45" s="120"/>
      <c r="F45" s="175">
        <v>0</v>
      </c>
      <c r="G45" s="175">
        <v>0</v>
      </c>
      <c r="H45" s="175">
        <v>0</v>
      </c>
      <c r="I45" s="175">
        <v>0</v>
      </c>
      <c r="J45" s="175">
        <v>0</v>
      </c>
      <c r="K45" s="29"/>
    </row>
    <row r="46" spans="2:11" ht="9.75">
      <c r="B46" s="34" t="s">
        <v>50</v>
      </c>
      <c r="E46" s="170">
        <f>2080*(13.02+2)</f>
        <v>31241.6</v>
      </c>
      <c r="F46" s="29">
        <f>($E46*F47*'Pro Forma IS'!$G$10/365)*(1+F$4)</f>
        <v>174094.41221374046</v>
      </c>
      <c r="G46" s="29">
        <f>($E46*G47*'Pro Forma IS'!$H$10/365)*(1+G$4)</f>
        <v>179317.24458015268</v>
      </c>
      <c r="H46" s="29">
        <f>($E46*H47*'Pro Forma IS'!$I$10/365)*(1+H$4)</f>
        <v>184540.0769465649</v>
      </c>
      <c r="I46" s="29">
        <f>($E46*I47*'Pro Forma IS'!$J$10/365)*(1+I$4)</f>
        <v>189762.9093129771</v>
      </c>
      <c r="J46" s="29">
        <f>($E46*J47*'Pro Forma IS'!$K$10/365)*(1+J$4)</f>
        <v>194985.74167938935</v>
      </c>
      <c r="K46" s="29">
        <f>SUM(F46:J46)</f>
        <v>922700.3847328245</v>
      </c>
    </row>
    <row r="47" spans="3:11" ht="9.75">
      <c r="C47" s="34" t="s">
        <v>91</v>
      </c>
      <c r="E47" s="120"/>
      <c r="F47" s="173">
        <f>F48*FTE12Hour</f>
        <v>5.572519083969466</v>
      </c>
      <c r="G47" s="173">
        <f>G48*FTE12Hour</f>
        <v>5.572519083969466</v>
      </c>
      <c r="H47" s="173">
        <f>H48*FTE12Hour</f>
        <v>5.572519083969466</v>
      </c>
      <c r="I47" s="173">
        <f>I48*FTE12Hour</f>
        <v>5.572519083969466</v>
      </c>
      <c r="J47" s="173">
        <f>J48*FTE12Hour</f>
        <v>5.572519083969466</v>
      </c>
      <c r="K47" s="29"/>
    </row>
    <row r="48" spans="3:11" ht="9.75">
      <c r="C48" s="34" t="s">
        <v>307</v>
      </c>
      <c r="E48" s="120"/>
      <c r="F48" s="175">
        <v>2</v>
      </c>
      <c r="G48" s="175">
        <v>2</v>
      </c>
      <c r="H48" s="175">
        <v>2</v>
      </c>
      <c r="I48" s="175">
        <v>2</v>
      </c>
      <c r="J48" s="175">
        <v>2</v>
      </c>
      <c r="K48" s="29"/>
    </row>
    <row r="49" spans="2:11" ht="9.75">
      <c r="B49" s="34" t="s">
        <v>51</v>
      </c>
      <c r="E49" s="170">
        <v>0</v>
      </c>
      <c r="F49" s="29">
        <f>($E49*F50*'Pro Forma IS'!$G$10/365)*(1+F$4)</f>
        <v>0</v>
      </c>
      <c r="G49" s="29">
        <f>($E49*G50*'Pro Forma IS'!$H$10/365)*(1+G$4)</f>
        <v>0</v>
      </c>
      <c r="H49" s="29">
        <f>($E49*H50*'Pro Forma IS'!$I$10/365)*(1+H$4)</f>
        <v>0</v>
      </c>
      <c r="I49" s="29">
        <f>($E49*I50*'Pro Forma IS'!$J$10/365)*(1+I$4)</f>
        <v>0</v>
      </c>
      <c r="J49" s="29">
        <f>($E49*J50*'Pro Forma IS'!$K$10/365)*(1+J$4)</f>
        <v>0</v>
      </c>
      <c r="K49" s="29">
        <f>SUM(F49:J49)</f>
        <v>0</v>
      </c>
    </row>
    <row r="50" spans="3:11" ht="9.75">
      <c r="C50" s="34" t="s">
        <v>91</v>
      </c>
      <c r="E50" s="120"/>
      <c r="F50" s="173">
        <f>F51*FTE12Hour</f>
        <v>0</v>
      </c>
      <c r="G50" s="173">
        <f>G51*FTE12Hour</f>
        <v>0</v>
      </c>
      <c r="H50" s="173">
        <f>H51*FTE12Hour</f>
        <v>0</v>
      </c>
      <c r="I50" s="173">
        <f>I51*FTE12Hour</f>
        <v>0</v>
      </c>
      <c r="J50" s="173">
        <f>J51*FTE12Hour</f>
        <v>0</v>
      </c>
      <c r="K50" s="29"/>
    </row>
    <row r="51" spans="3:11" ht="9.75">
      <c r="C51" s="34" t="s">
        <v>307</v>
      </c>
      <c r="E51" s="120"/>
      <c r="F51" s="175">
        <v>0</v>
      </c>
      <c r="G51" s="175">
        <v>0</v>
      </c>
      <c r="H51" s="175">
        <v>0</v>
      </c>
      <c r="I51" s="175">
        <v>0</v>
      </c>
      <c r="J51" s="175">
        <v>0</v>
      </c>
      <c r="K51" s="29"/>
    </row>
    <row r="52" spans="2:11" ht="9.75">
      <c r="B52" s="34" t="s">
        <v>52</v>
      </c>
      <c r="E52" s="170">
        <f>2080*(24.81+2)</f>
        <v>55764.799999999996</v>
      </c>
      <c r="F52" s="29">
        <f>($E52*F53*'Pro Forma IS'!$G$10/365)*(1+F$4)</f>
        <v>0</v>
      </c>
      <c r="G52" s="29">
        <f>($E52*G53*'Pro Forma IS'!$H$10/365)*(1+G$4)</f>
        <v>0</v>
      </c>
      <c r="H52" s="29">
        <f>($E52*H53*'Pro Forma IS'!$I$10/365)*(1+H$4)</f>
        <v>0</v>
      </c>
      <c r="I52" s="29">
        <f>($E52*I53*'Pro Forma IS'!$J$10/365)*(1+I$4)</f>
        <v>0</v>
      </c>
      <c r="J52" s="29">
        <f>($E52*J53*'Pro Forma IS'!$K$10/365)*(1+J$4)</f>
        <v>0</v>
      </c>
      <c r="K52" s="29">
        <f>SUM(F52:J52)</f>
        <v>0</v>
      </c>
    </row>
    <row r="53" spans="3:11" ht="9.75">
      <c r="C53" s="34" t="s">
        <v>91</v>
      </c>
      <c r="E53" s="120"/>
      <c r="F53" s="173">
        <f>F54*FTE12Hour</f>
        <v>0</v>
      </c>
      <c r="G53" s="173">
        <f>G54*FTE12Hour</f>
        <v>0</v>
      </c>
      <c r="H53" s="173">
        <f>H54*FTE12Hour</f>
        <v>0</v>
      </c>
      <c r="I53" s="173">
        <f>I54*FTE12Hour</f>
        <v>0</v>
      </c>
      <c r="J53" s="173">
        <f>J54*FTE12Hour</f>
        <v>0</v>
      </c>
      <c r="K53" s="29"/>
    </row>
    <row r="54" spans="3:11" ht="9.75">
      <c r="C54" s="34" t="s">
        <v>307</v>
      </c>
      <c r="E54" s="120"/>
      <c r="F54" s="175">
        <v>0</v>
      </c>
      <c r="G54" s="175">
        <v>0</v>
      </c>
      <c r="H54" s="175">
        <v>0</v>
      </c>
      <c r="I54" s="175">
        <v>0</v>
      </c>
      <c r="J54" s="175">
        <v>0</v>
      </c>
      <c r="K54" s="29"/>
    </row>
    <row r="55" spans="2:11" ht="9.75">
      <c r="B55" s="208" t="s">
        <v>314</v>
      </c>
      <c r="C55" s="208"/>
      <c r="D55" s="208"/>
      <c r="E55" s="170">
        <f>2080*20</f>
        <v>41600</v>
      </c>
      <c r="F55" s="29">
        <f>($E55*F56*'Pro Forma IS'!$G$10/365)*(1+F$4)</f>
        <v>15311.499236641223</v>
      </c>
      <c r="G55" s="29">
        <f>($E55*G56*'Pro Forma IS'!$H$10/365)*(1+G$4)</f>
        <v>15770.84421374046</v>
      </c>
      <c r="H55" s="29">
        <f>($E55*H56*'Pro Forma IS'!$I$10/365)*(1+H$4)</f>
        <v>16230.189190839697</v>
      </c>
      <c r="I55" s="29">
        <f>($E55*I56*'Pro Forma IS'!$J$10/365)*(1+I$4)</f>
        <v>16689.534167938935</v>
      </c>
      <c r="J55" s="29">
        <f>($E55*J56*'Pro Forma IS'!$K$10/365)*(1+J$4)</f>
        <v>17148.879145038172</v>
      </c>
      <c r="K55" s="29">
        <f>SUM(F55:J55)</f>
        <v>81150.94595419848</v>
      </c>
    </row>
    <row r="56" spans="3:11" ht="9.75">
      <c r="C56" s="34" t="s">
        <v>91</v>
      </c>
      <c r="E56" s="120"/>
      <c r="F56" s="173">
        <f>F57*FTE12Hour</f>
        <v>0.3680648854961832</v>
      </c>
      <c r="G56" s="173">
        <f>G57*FTE12Hour</f>
        <v>0.3680648854961832</v>
      </c>
      <c r="H56" s="173">
        <f>H57*FTE12Hour</f>
        <v>0.3680648854961832</v>
      </c>
      <c r="I56" s="173">
        <f>I57*FTE12Hour</f>
        <v>0.3680648854961832</v>
      </c>
      <c r="J56" s="173">
        <f>J57*FTE12Hour</f>
        <v>0.3680648854961832</v>
      </c>
      <c r="K56" s="29"/>
    </row>
    <row r="57" spans="3:11" ht="9.75">
      <c r="C57" s="34" t="s">
        <v>307</v>
      </c>
      <c r="E57" s="120"/>
      <c r="F57" s="175">
        <v>0.1321</v>
      </c>
      <c r="G57" s="175">
        <v>0.1321</v>
      </c>
      <c r="H57" s="175">
        <v>0.1321</v>
      </c>
      <c r="I57" s="175">
        <v>0.1321</v>
      </c>
      <c r="J57" s="175">
        <v>0.1321</v>
      </c>
      <c r="K57" s="29"/>
    </row>
    <row r="58" spans="2:11" ht="9.75">
      <c r="B58" s="34" t="s">
        <v>54</v>
      </c>
      <c r="E58" s="170">
        <v>175000</v>
      </c>
      <c r="F58" s="29">
        <f>($E58*F59*'Pro Forma IS'!$G$10/365)*(1+F$4)</f>
        <v>0</v>
      </c>
      <c r="G58" s="29">
        <f>($E58*G59*'Pro Forma IS'!$H$10/365)*(1+G$4)</f>
        <v>0</v>
      </c>
      <c r="H58" s="29">
        <f>($E58*H59*'Pro Forma IS'!$I$10/365)*(1+H$4)</f>
        <v>0</v>
      </c>
      <c r="I58" s="29">
        <f>($E58*I59*'Pro Forma IS'!$J$10/365)*(1+I$4)</f>
        <v>0</v>
      </c>
      <c r="J58" s="29">
        <f>($E58*J59*'Pro Forma IS'!$K$10/365)*(1+J$4)</f>
        <v>0</v>
      </c>
      <c r="K58" s="29">
        <f>SUM(F58:J58)</f>
        <v>0</v>
      </c>
    </row>
    <row r="59" spans="3:11" ht="9.75">
      <c r="C59" s="34" t="s">
        <v>91</v>
      </c>
      <c r="E59" s="120"/>
      <c r="F59" s="173">
        <f>F60*FTE12Hour</f>
        <v>0</v>
      </c>
      <c r="G59" s="173">
        <f>G60*FTE12Hour</f>
        <v>0</v>
      </c>
      <c r="H59" s="173">
        <f>H60*FTE12Hour</f>
        <v>0</v>
      </c>
      <c r="I59" s="173">
        <f>I60*FTE12Hour</f>
        <v>0</v>
      </c>
      <c r="J59" s="173">
        <f>J60*FTE12Hour</f>
        <v>0</v>
      </c>
      <c r="K59" s="29"/>
    </row>
    <row r="60" spans="3:11" ht="9.75">
      <c r="C60" s="34" t="s">
        <v>307</v>
      </c>
      <c r="E60" s="120"/>
      <c r="F60" s="175">
        <v>0</v>
      </c>
      <c r="G60" s="175">
        <v>0</v>
      </c>
      <c r="H60" s="175">
        <v>0</v>
      </c>
      <c r="I60" s="175">
        <v>0</v>
      </c>
      <c r="J60" s="175">
        <v>0</v>
      </c>
      <c r="K60" s="29"/>
    </row>
    <row r="61" spans="5:11" ht="9.75">
      <c r="E61" s="29"/>
      <c r="F61" s="87"/>
      <c r="G61" s="87"/>
      <c r="H61" s="87"/>
      <c r="I61" s="87"/>
      <c r="J61" s="87"/>
      <c r="K61" s="29"/>
    </row>
    <row r="62" spans="2:11" ht="9.75">
      <c r="B62" s="34" t="s">
        <v>55</v>
      </c>
      <c r="E62" s="29"/>
      <c r="F62" s="29">
        <f>F37+F40+F43+F46+F49+F52+F55+F58</f>
        <v>640173.6671755725</v>
      </c>
      <c r="G62" s="29">
        <f>G37+G40+G43+G46+G49+G52+G55+G58</f>
        <v>659378.8771908397</v>
      </c>
      <c r="H62" s="29">
        <f>H37+H40+H43+H46+H49+H52+H55+H58</f>
        <v>678584.0872061069</v>
      </c>
      <c r="I62" s="29">
        <f>I37+I40+I43+I46+I49+I52+I55+I58</f>
        <v>697789.2972213741</v>
      </c>
      <c r="J62" s="29">
        <f>J37+J40+J43+J46+J49+J52+J55+J58</f>
        <v>716994.5072366412</v>
      </c>
      <c r="K62" s="29">
        <f>SUM(F62:J62)</f>
        <v>3392920.4360305346</v>
      </c>
    </row>
    <row r="63" spans="5:11" ht="9.75">
      <c r="E63" s="29"/>
      <c r="F63" s="29"/>
      <c r="G63" s="29"/>
      <c r="H63" s="29"/>
      <c r="I63" s="29"/>
      <c r="J63" s="29"/>
      <c r="K63" s="29"/>
    </row>
    <row r="64" spans="5:11" ht="9.75">
      <c r="E64" s="29"/>
      <c r="F64" s="29"/>
      <c r="G64" s="29"/>
      <c r="H64" s="29"/>
      <c r="I64" s="29"/>
      <c r="J64" s="29"/>
      <c r="K64" s="29"/>
    </row>
    <row r="65" spans="5:11" ht="9.75">
      <c r="E65" s="29"/>
      <c r="F65" s="29"/>
      <c r="G65" s="29"/>
      <c r="H65" s="29"/>
      <c r="I65" s="29"/>
      <c r="J65" s="29"/>
      <c r="K65" s="29"/>
    </row>
    <row r="66" spans="5:11" ht="9.75">
      <c r="E66" s="29"/>
      <c r="F66" s="29"/>
      <c r="G66" s="29"/>
      <c r="H66" s="29"/>
      <c r="I66" s="29"/>
      <c r="J66" s="29"/>
      <c r="K66" s="29"/>
    </row>
    <row r="67" spans="5:11" ht="9.75">
      <c r="E67" s="29"/>
      <c r="F67" s="29"/>
      <c r="G67" s="29"/>
      <c r="H67" s="29"/>
      <c r="I67" s="29"/>
      <c r="J67" s="29"/>
      <c r="K67" s="29"/>
    </row>
    <row r="68" spans="5:11" ht="9.75">
      <c r="E68" s="29"/>
      <c r="F68" s="29"/>
      <c r="G68" s="29"/>
      <c r="H68" s="29"/>
      <c r="I68" s="29"/>
      <c r="J68" s="29"/>
      <c r="K68" s="29"/>
    </row>
    <row r="69" spans="1:5" ht="10.5">
      <c r="A69" s="169" t="s">
        <v>302</v>
      </c>
      <c r="E69" s="86" t="s">
        <v>44</v>
      </c>
    </row>
    <row r="70" spans="1:11" ht="10.5">
      <c r="A70" s="118" t="s">
        <v>303</v>
      </c>
      <c r="B70" s="35"/>
      <c r="C70" s="35"/>
      <c r="D70" s="35"/>
      <c r="E70" s="35" t="s">
        <v>46</v>
      </c>
      <c r="F70" s="105" t="str">
        <f>'Pro Forma IS'!G$2</f>
        <v>Year 1</v>
      </c>
      <c r="G70" s="105" t="str">
        <f>'Pro Forma IS'!H$2</f>
        <v>Year 2</v>
      </c>
      <c r="H70" s="105" t="str">
        <f>'Pro Forma IS'!I$2</f>
        <v>Year 3</v>
      </c>
      <c r="I70" s="105" t="str">
        <f>'Pro Forma IS'!J$2</f>
        <v>Year 4</v>
      </c>
      <c r="J70" s="105" t="str">
        <f>'Pro Forma IS'!K$2</f>
        <v>Year 5</v>
      </c>
      <c r="K70" s="35" t="s">
        <v>0</v>
      </c>
    </row>
    <row r="71" spans="2:11" ht="9.75">
      <c r="B71" s="34" t="s">
        <v>47</v>
      </c>
      <c r="E71" s="170">
        <v>0</v>
      </c>
      <c r="F71" s="29">
        <f>($E71*F72*'Pro Forma IS'!$G$10/365)*(1+F$4)</f>
        <v>0</v>
      </c>
      <c r="G71" s="29">
        <f>($E71*G72*'Pro Forma IS'!$H$10/365)*(1+G$4)</f>
        <v>0</v>
      </c>
      <c r="H71" s="29">
        <f>($E71*H72*'Pro Forma IS'!$I$10/365)*(1+H$4)</f>
        <v>0</v>
      </c>
      <c r="I71" s="29">
        <f>($E71*I72*'Pro Forma IS'!$J$10/365)*(1+I$4)</f>
        <v>0</v>
      </c>
      <c r="J71" s="29">
        <f>($E71*J72*'Pro Forma IS'!$K$10/365)*(1+J$4)</f>
        <v>0</v>
      </c>
      <c r="K71" s="29">
        <f>SUM(F71:J71)</f>
        <v>0</v>
      </c>
    </row>
    <row r="72" spans="3:11" ht="9.75">
      <c r="C72" s="34" t="s">
        <v>91</v>
      </c>
      <c r="E72" s="119"/>
      <c r="F72" s="173">
        <f>F73*FTE8Hour</f>
        <v>0</v>
      </c>
      <c r="G72" s="173">
        <f>G73*FTE8Hour</f>
        <v>0</v>
      </c>
      <c r="H72" s="173">
        <f>H73*FTE8Hour</f>
        <v>0</v>
      </c>
      <c r="I72" s="173">
        <f>I73*FTE8Hour</f>
        <v>0</v>
      </c>
      <c r="J72" s="173">
        <f>J73*FTE8Hour</f>
        <v>0</v>
      </c>
      <c r="K72" s="29"/>
    </row>
    <row r="73" spans="3:11" ht="9.75">
      <c r="C73" s="34" t="s">
        <v>307</v>
      </c>
      <c r="E73" s="119"/>
      <c r="F73" s="175">
        <v>0</v>
      </c>
      <c r="G73" s="175">
        <v>0</v>
      </c>
      <c r="H73" s="175">
        <v>0</v>
      </c>
      <c r="I73" s="175">
        <v>0</v>
      </c>
      <c r="J73" s="175">
        <v>0</v>
      </c>
      <c r="K73" s="29"/>
    </row>
    <row r="74" spans="2:11" ht="9.75">
      <c r="B74" s="34" t="s">
        <v>48</v>
      </c>
      <c r="E74" s="170">
        <v>0</v>
      </c>
      <c r="F74" s="29">
        <f>($E74*F75*'Pro Forma IS'!$G$10/365)*(1+F$4)</f>
        <v>0</v>
      </c>
      <c r="G74" s="29">
        <f>($E74*G75*'Pro Forma IS'!$H$10/365)*(1+G$4)</f>
        <v>0</v>
      </c>
      <c r="H74" s="29">
        <f>($E74*H75*'Pro Forma IS'!$I$10/365)*(1+H$4)</f>
        <v>0</v>
      </c>
      <c r="I74" s="29">
        <f>($E74*I75*'Pro Forma IS'!$J$10/365)*(1+I$4)</f>
        <v>0</v>
      </c>
      <c r="J74" s="29">
        <f>($E74*J75*'Pro Forma IS'!$K$10/365)*(1+J$4)</f>
        <v>0</v>
      </c>
      <c r="K74" s="29">
        <f>SUM(F74:J74)</f>
        <v>0</v>
      </c>
    </row>
    <row r="75" spans="3:11" ht="9.75">
      <c r="C75" s="34" t="s">
        <v>91</v>
      </c>
      <c r="E75" s="119"/>
      <c r="F75" s="173">
        <f>F76*FTE8Hour</f>
        <v>0</v>
      </c>
      <c r="G75" s="173">
        <f>G76*FTE8Hour</f>
        <v>0</v>
      </c>
      <c r="H75" s="173">
        <f>H76*FTE8Hour</f>
        <v>0</v>
      </c>
      <c r="I75" s="173">
        <f>I76*FTE8Hour</f>
        <v>0</v>
      </c>
      <c r="J75" s="173">
        <f>J76*FTE8Hour</f>
        <v>0</v>
      </c>
      <c r="K75" s="29"/>
    </row>
    <row r="76" spans="3:11" ht="9.75">
      <c r="C76" s="34" t="s">
        <v>307</v>
      </c>
      <c r="E76" s="119"/>
      <c r="F76" s="175">
        <v>0</v>
      </c>
      <c r="G76" s="175">
        <v>0</v>
      </c>
      <c r="H76" s="175">
        <v>0</v>
      </c>
      <c r="I76" s="175">
        <v>0</v>
      </c>
      <c r="J76" s="175">
        <v>0</v>
      </c>
      <c r="K76" s="29"/>
    </row>
    <row r="77" spans="2:11" ht="9.75">
      <c r="B77" s="34" t="s">
        <v>49</v>
      </c>
      <c r="E77" s="170">
        <v>0</v>
      </c>
      <c r="F77" s="29">
        <f>($E77*F78*'Pro Forma IS'!$G$10/365)*(1+F$4)</f>
        <v>0</v>
      </c>
      <c r="G77" s="29">
        <f>($E77*G78*'Pro Forma IS'!$H$10/365)*(1+G$4)</f>
        <v>0</v>
      </c>
      <c r="H77" s="29">
        <f>($E77*H78*'Pro Forma IS'!$I$10/365)*(1+H$4)</f>
        <v>0</v>
      </c>
      <c r="I77" s="29">
        <f>($E77*I78*'Pro Forma IS'!$J$10/365)*(1+I$4)</f>
        <v>0</v>
      </c>
      <c r="J77" s="29">
        <f>($E77*J78*'Pro Forma IS'!$K$10/365)*(1+J$4)</f>
        <v>0</v>
      </c>
      <c r="K77" s="29">
        <f>SUM(F77:J77)</f>
        <v>0</v>
      </c>
    </row>
    <row r="78" spans="3:11" ht="9.75">
      <c r="C78" s="34" t="s">
        <v>91</v>
      </c>
      <c r="E78" s="119"/>
      <c r="F78" s="173">
        <f>F79*FTE8Hour</f>
        <v>0</v>
      </c>
      <c r="G78" s="173">
        <f>G79*FTE8Hour</f>
        <v>0</v>
      </c>
      <c r="H78" s="173">
        <f>H79*FTE8Hour</f>
        <v>0</v>
      </c>
      <c r="I78" s="173">
        <f>I79*FTE8Hour</f>
        <v>0</v>
      </c>
      <c r="J78" s="173">
        <f>J79*FTE8Hour</f>
        <v>0</v>
      </c>
      <c r="K78" s="29"/>
    </row>
    <row r="79" spans="3:11" ht="9.75">
      <c r="C79" s="34" t="s">
        <v>307</v>
      </c>
      <c r="E79" s="119"/>
      <c r="F79" s="175">
        <v>0</v>
      </c>
      <c r="G79" s="175">
        <v>0</v>
      </c>
      <c r="H79" s="175">
        <v>0</v>
      </c>
      <c r="I79" s="175">
        <v>0</v>
      </c>
      <c r="J79" s="175">
        <v>0</v>
      </c>
      <c r="K79" s="29"/>
    </row>
    <row r="80" spans="2:11" ht="9.75">
      <c r="B80" s="34" t="s">
        <v>50</v>
      </c>
      <c r="E80" s="170">
        <v>0</v>
      </c>
      <c r="F80" s="29">
        <f>($E80*F81*'Pro Forma IS'!$G$10/365)*(1+F$4)</f>
        <v>0</v>
      </c>
      <c r="G80" s="29">
        <f>($E80*G81*'Pro Forma IS'!$H$10/365)*(1+G$4)</f>
        <v>0</v>
      </c>
      <c r="H80" s="29">
        <f>($E80*H81*'Pro Forma IS'!$I$10/365)*(1+H$4)</f>
        <v>0</v>
      </c>
      <c r="I80" s="29">
        <f>($E80*I81*'Pro Forma IS'!$J$10/365)*(1+I$4)</f>
        <v>0</v>
      </c>
      <c r="J80" s="29">
        <f>($E80*J81*'Pro Forma IS'!$K$10/365)*(1+J$4)</f>
        <v>0</v>
      </c>
      <c r="K80" s="29">
        <f>SUM(F80:J80)</f>
        <v>0</v>
      </c>
    </row>
    <row r="81" spans="3:11" ht="9.75">
      <c r="C81" s="34" t="s">
        <v>91</v>
      </c>
      <c r="E81" s="120"/>
      <c r="F81" s="173">
        <f>F82*FTE8Hour</f>
        <v>0</v>
      </c>
      <c r="G81" s="173">
        <f>G82*FTE8Hour</f>
        <v>0</v>
      </c>
      <c r="H81" s="173">
        <f>H82*FTE8Hour</f>
        <v>0</v>
      </c>
      <c r="I81" s="173">
        <f>I82*FTE8Hour</f>
        <v>0</v>
      </c>
      <c r="J81" s="173">
        <f>J82*FTE8Hour</f>
        <v>0</v>
      </c>
      <c r="K81" s="29"/>
    </row>
    <row r="82" spans="3:11" ht="9.75">
      <c r="C82" s="34" t="s">
        <v>307</v>
      </c>
      <c r="E82" s="120"/>
      <c r="F82" s="175">
        <v>0</v>
      </c>
      <c r="G82" s="175">
        <v>0</v>
      </c>
      <c r="H82" s="175">
        <v>0</v>
      </c>
      <c r="I82" s="175">
        <v>0</v>
      </c>
      <c r="J82" s="175">
        <v>0</v>
      </c>
      <c r="K82" s="29"/>
    </row>
    <row r="83" spans="2:11" ht="9.75">
      <c r="B83" s="34" t="s">
        <v>51</v>
      </c>
      <c r="E83" s="170">
        <v>0</v>
      </c>
      <c r="F83" s="29">
        <f>($E83*F84*'Pro Forma IS'!$G$10/365)*(1+F$4)</f>
        <v>0</v>
      </c>
      <c r="G83" s="29">
        <f>($E83*G84*'Pro Forma IS'!$H$10/365)*(1+G$4)</f>
        <v>0</v>
      </c>
      <c r="H83" s="29">
        <f>($E83*H84*'Pro Forma IS'!$I$10/365)*(1+H$4)</f>
        <v>0</v>
      </c>
      <c r="I83" s="29">
        <f>($E83*I84*'Pro Forma IS'!$J$10/365)*(1+I$4)</f>
        <v>0</v>
      </c>
      <c r="J83" s="29">
        <f>($E83*J84*'Pro Forma IS'!$K$10/365)*(1+J$4)</f>
        <v>0</v>
      </c>
      <c r="K83" s="29">
        <f>SUM(F83:J83)</f>
        <v>0</v>
      </c>
    </row>
    <row r="84" spans="3:11" ht="9.75">
      <c r="C84" s="34" t="s">
        <v>91</v>
      </c>
      <c r="E84" s="120"/>
      <c r="F84" s="173">
        <f>F85*FTE8Hour</f>
        <v>0</v>
      </c>
      <c r="G84" s="173">
        <f>G85*FTE8Hour</f>
        <v>0</v>
      </c>
      <c r="H84" s="173">
        <f>H85*FTE8Hour</f>
        <v>0</v>
      </c>
      <c r="I84" s="173">
        <f>I85*FTE8Hour</f>
        <v>0</v>
      </c>
      <c r="J84" s="173">
        <f>J85*FTE8Hour</f>
        <v>0</v>
      </c>
      <c r="K84" s="29"/>
    </row>
    <row r="85" spans="3:11" ht="9.75">
      <c r="C85" s="34" t="s">
        <v>307</v>
      </c>
      <c r="E85" s="120"/>
      <c r="F85" s="175">
        <v>0</v>
      </c>
      <c r="G85" s="175">
        <v>0</v>
      </c>
      <c r="H85" s="175">
        <v>0</v>
      </c>
      <c r="I85" s="175">
        <v>0</v>
      </c>
      <c r="J85" s="175">
        <v>0</v>
      </c>
      <c r="K85" s="29"/>
    </row>
    <row r="86" spans="2:11" ht="9.75">
      <c r="B86" s="34" t="s">
        <v>52</v>
      </c>
      <c r="E86" s="170">
        <v>0</v>
      </c>
      <c r="F86" s="29">
        <f>($E86*F87*'Pro Forma IS'!$G$10/365)*(1+F$4)</f>
        <v>0</v>
      </c>
      <c r="G86" s="29">
        <f>($E86*G87*'Pro Forma IS'!$H$10/365)*(1+G$4)</f>
        <v>0</v>
      </c>
      <c r="H86" s="29">
        <f>($E86*H87*'Pro Forma IS'!$I$10/365)*(1+H$4)</f>
        <v>0</v>
      </c>
      <c r="I86" s="29">
        <f>($E86*I87*'Pro Forma IS'!$J$10/365)*(1+I$4)</f>
        <v>0</v>
      </c>
      <c r="J86" s="29">
        <f>($E86*J87*'Pro Forma IS'!$K$10/365)*(1+J$4)</f>
        <v>0</v>
      </c>
      <c r="K86" s="29">
        <f>SUM(F86:J86)</f>
        <v>0</v>
      </c>
    </row>
    <row r="87" spans="3:11" ht="9.75">
      <c r="C87" s="34" t="s">
        <v>91</v>
      </c>
      <c r="E87" s="120"/>
      <c r="F87" s="173">
        <f>F88*FTE8Hour</f>
        <v>0</v>
      </c>
      <c r="G87" s="173">
        <f>G88*FTE8Hour</f>
        <v>0</v>
      </c>
      <c r="H87" s="173">
        <f>H88*FTE8Hour</f>
        <v>0</v>
      </c>
      <c r="I87" s="173">
        <f>I88*FTE8Hour</f>
        <v>0</v>
      </c>
      <c r="J87" s="173">
        <f>J88*FTE8Hour</f>
        <v>0</v>
      </c>
      <c r="K87" s="29"/>
    </row>
    <row r="88" spans="3:11" ht="9.75">
      <c r="C88" s="34" t="s">
        <v>307</v>
      </c>
      <c r="E88" s="120"/>
      <c r="F88" s="175">
        <v>0</v>
      </c>
      <c r="G88" s="175">
        <v>0</v>
      </c>
      <c r="H88" s="175">
        <v>0</v>
      </c>
      <c r="I88" s="175">
        <v>0</v>
      </c>
      <c r="J88" s="175">
        <v>0</v>
      </c>
      <c r="K88" s="29"/>
    </row>
    <row r="89" spans="2:11" ht="9.75">
      <c r="B89" s="34" t="s">
        <v>53</v>
      </c>
      <c r="E89" s="170">
        <v>0</v>
      </c>
      <c r="F89" s="29">
        <f>($E89*F90*'Pro Forma IS'!$G$10/365)*(1+F$4)</f>
        <v>0</v>
      </c>
      <c r="G89" s="29">
        <f>($E89*G90*'Pro Forma IS'!$H$10/365)*(1+G$4)</f>
        <v>0</v>
      </c>
      <c r="H89" s="29">
        <f>($E89*H90*'Pro Forma IS'!$I$10/365)*(1+H$4)</f>
        <v>0</v>
      </c>
      <c r="I89" s="29">
        <f>($E89*I90*'Pro Forma IS'!$J$10/365)*(1+I$4)</f>
        <v>0</v>
      </c>
      <c r="J89" s="29">
        <f>($E89*J90*'Pro Forma IS'!$K$10/365)*(1+J$4)</f>
        <v>0</v>
      </c>
      <c r="K89" s="29">
        <f>SUM(F89:J89)</f>
        <v>0</v>
      </c>
    </row>
    <row r="90" spans="3:11" ht="9.75">
      <c r="C90" s="34" t="s">
        <v>91</v>
      </c>
      <c r="E90" s="120"/>
      <c r="F90" s="173">
        <f>F91*FTE8Hour</f>
        <v>0</v>
      </c>
      <c r="G90" s="173">
        <f>G91*FTE8Hour</f>
        <v>0</v>
      </c>
      <c r="H90" s="173">
        <f>H91*FTE8Hour</f>
        <v>0</v>
      </c>
      <c r="I90" s="173">
        <f>I91*FTE8Hour</f>
        <v>0</v>
      </c>
      <c r="J90" s="173">
        <f>J91*FTE8Hour</f>
        <v>0</v>
      </c>
      <c r="K90" s="29"/>
    </row>
    <row r="91" spans="3:11" ht="9.75">
      <c r="C91" s="34" t="s">
        <v>307</v>
      </c>
      <c r="E91" s="120"/>
      <c r="F91" s="175">
        <v>0</v>
      </c>
      <c r="G91" s="175">
        <v>0</v>
      </c>
      <c r="H91" s="175">
        <v>0</v>
      </c>
      <c r="I91" s="175">
        <v>0</v>
      </c>
      <c r="J91" s="175">
        <v>0</v>
      </c>
      <c r="K91" s="29"/>
    </row>
    <row r="92" spans="2:11" ht="9.75">
      <c r="B92" s="208" t="s">
        <v>306</v>
      </c>
      <c r="C92" s="208"/>
      <c r="D92" s="208"/>
      <c r="E92" s="170">
        <v>0</v>
      </c>
      <c r="F92" s="29">
        <f>($E92*F93*'Pro Forma IS'!$G$10/365)*(1+F$4)</f>
        <v>0</v>
      </c>
      <c r="G92" s="29">
        <f>($E92*G93*'Pro Forma IS'!$H$10/365)*(1+G$4)</f>
        <v>0</v>
      </c>
      <c r="H92" s="29">
        <f>($E92*H93*'Pro Forma IS'!$I$10/365)*(1+H$4)</f>
        <v>0</v>
      </c>
      <c r="I92" s="29">
        <f>($E92*I93*'Pro Forma IS'!$J$10/365)*(1+I$4)</f>
        <v>0</v>
      </c>
      <c r="J92" s="29">
        <f>($E92*J93*'Pro Forma IS'!$K$10/365)*(1+J$4)</f>
        <v>0</v>
      </c>
      <c r="K92" s="29">
        <f>SUM(F92:J92)</f>
        <v>0</v>
      </c>
    </row>
    <row r="93" spans="3:11" ht="9.75">
      <c r="C93" s="34" t="s">
        <v>91</v>
      </c>
      <c r="E93" s="120"/>
      <c r="F93" s="173">
        <f>F94*FTE8Hour</f>
        <v>0</v>
      </c>
      <c r="G93" s="173">
        <f>G94*FTE8Hour</f>
        <v>0</v>
      </c>
      <c r="H93" s="173">
        <f>H94*FTE8Hour</f>
        <v>0</v>
      </c>
      <c r="I93" s="173">
        <f>I94*FTE8Hour</f>
        <v>0</v>
      </c>
      <c r="J93" s="173">
        <f>J94*FTE8Hour</f>
        <v>0</v>
      </c>
      <c r="K93" s="29"/>
    </row>
    <row r="94" spans="3:11" ht="9.75">
      <c r="C94" s="34" t="s">
        <v>307</v>
      </c>
      <c r="E94" s="120"/>
      <c r="F94" s="175">
        <v>0</v>
      </c>
      <c r="G94" s="175">
        <v>0</v>
      </c>
      <c r="H94" s="175">
        <v>0</v>
      </c>
      <c r="I94" s="175">
        <v>0</v>
      </c>
      <c r="J94" s="175">
        <v>0</v>
      </c>
      <c r="K94" s="29"/>
    </row>
    <row r="95" spans="5:11" ht="9.75">
      <c r="E95" s="87"/>
      <c r="F95" s="87"/>
      <c r="G95" s="87"/>
      <c r="H95" s="87"/>
      <c r="I95" s="87"/>
      <c r="J95" s="87"/>
      <c r="K95" s="29"/>
    </row>
    <row r="96" spans="2:11" ht="9.75">
      <c r="B96" s="34" t="s">
        <v>55</v>
      </c>
      <c r="E96" s="29"/>
      <c r="F96" s="29">
        <f>F71+F74+F77+F80+F83+F86+F89+F92</f>
        <v>0</v>
      </c>
      <c r="G96" s="29">
        <f>G71+G74+G77+G80+G83+G86+G89+G92</f>
        <v>0</v>
      </c>
      <c r="H96" s="29">
        <f>H71+H74+H77+H80+H83+H86+H89+H92</f>
        <v>0</v>
      </c>
      <c r="I96" s="29">
        <f>I71+I74+I77+I80+I83+I86+I89+I92</f>
        <v>0</v>
      </c>
      <c r="J96" s="29">
        <f>J71+J74+J77+J80+J83+J86+J89+J92</f>
        <v>0</v>
      </c>
      <c r="K96" s="29">
        <f>SUM(F96:J96)</f>
        <v>0</v>
      </c>
    </row>
    <row r="97" spans="5:11" ht="9.75">
      <c r="E97" s="29"/>
      <c r="F97" s="29"/>
      <c r="G97" s="29"/>
      <c r="H97" s="29"/>
      <c r="I97" s="29"/>
      <c r="J97" s="29"/>
      <c r="K97" s="29"/>
    </row>
    <row r="98" spans="1:5" ht="10.5">
      <c r="A98" s="169" t="s">
        <v>302</v>
      </c>
      <c r="E98" s="86" t="s">
        <v>44</v>
      </c>
    </row>
    <row r="99" spans="1:11" ht="10.5">
      <c r="A99" s="118" t="s">
        <v>304</v>
      </c>
      <c r="B99" s="35"/>
      <c r="C99" s="35"/>
      <c r="D99" s="35"/>
      <c r="E99" s="35" t="s">
        <v>46</v>
      </c>
      <c r="F99" s="105" t="str">
        <f>'Pro Forma IS'!G$2</f>
        <v>Year 1</v>
      </c>
      <c r="G99" s="105" t="str">
        <f>'Pro Forma IS'!H$2</f>
        <v>Year 2</v>
      </c>
      <c r="H99" s="105" t="str">
        <f>'Pro Forma IS'!I$2</f>
        <v>Year 3</v>
      </c>
      <c r="I99" s="105" t="str">
        <f>'Pro Forma IS'!J$2</f>
        <v>Year 4</v>
      </c>
      <c r="J99" s="105" t="str">
        <f>'Pro Forma IS'!K$2</f>
        <v>Year 5</v>
      </c>
      <c r="K99" s="35" t="s">
        <v>0</v>
      </c>
    </row>
    <row r="100" spans="2:11" ht="9.75">
      <c r="B100" s="34" t="s">
        <v>47</v>
      </c>
      <c r="E100" s="170">
        <v>60320</v>
      </c>
      <c r="F100" s="29">
        <f>($E100*F101*'Pro Forma IS'!$G$10/365)*(1+F$4)</f>
        <v>0</v>
      </c>
      <c r="G100" s="29">
        <f>($E100*G101*'Pro Forma IS'!$H$10/365)*(1+G$4)</f>
        <v>0</v>
      </c>
      <c r="H100" s="29">
        <f>($E100*H101*'Pro Forma IS'!$I$10/365)*(1+H$4)</f>
        <v>0</v>
      </c>
      <c r="I100" s="29">
        <f>($E100*I101*'Pro Forma IS'!$J$10/365)*(1+I$4)</f>
        <v>0</v>
      </c>
      <c r="J100" s="29">
        <f>($E100*J101*'Pro Forma IS'!$K$10/365)*(1+J$4)</f>
        <v>0</v>
      </c>
      <c r="K100" s="29">
        <f>SUM(F100:J100)</f>
        <v>0</v>
      </c>
    </row>
    <row r="101" spans="3:11" ht="9.75">
      <c r="C101" s="34" t="s">
        <v>91</v>
      </c>
      <c r="E101" s="120"/>
      <c r="F101" s="173">
        <f>F102*FTE8Hour</f>
        <v>0</v>
      </c>
      <c r="G101" s="173">
        <f>G102*FTE8Hour</f>
        <v>0</v>
      </c>
      <c r="H101" s="173">
        <f>H102*FTE8Hour</f>
        <v>0</v>
      </c>
      <c r="I101" s="173">
        <f>I102*FTE8Hour</f>
        <v>0</v>
      </c>
      <c r="J101" s="173">
        <f>J102*FTE8Hour</f>
        <v>0</v>
      </c>
      <c r="K101" s="29"/>
    </row>
    <row r="102" spans="3:11" ht="9.75">
      <c r="C102" s="34" t="s">
        <v>307</v>
      </c>
      <c r="E102" s="120"/>
      <c r="F102" s="175">
        <v>0</v>
      </c>
      <c r="G102" s="175">
        <v>0</v>
      </c>
      <c r="H102" s="175">
        <v>0</v>
      </c>
      <c r="I102" s="175">
        <v>0</v>
      </c>
      <c r="J102" s="175">
        <v>0</v>
      </c>
      <c r="K102" s="29"/>
    </row>
    <row r="103" spans="2:11" ht="9.75">
      <c r="B103" s="34" t="s">
        <v>48</v>
      </c>
      <c r="E103" s="170">
        <f>2080*35.25</f>
        <v>73320</v>
      </c>
      <c r="F103" s="29">
        <f>($E103*F104*'Pro Forma IS'!$G$10/365)*(1+F$4)</f>
        <v>0</v>
      </c>
      <c r="G103" s="29">
        <f>($E103*G104*'Pro Forma IS'!$H$10/365)*(1+G$4)</f>
        <v>0</v>
      </c>
      <c r="H103" s="29">
        <f>($E103*H104*'Pro Forma IS'!$I$10/365)*(1+H$4)</f>
        <v>0</v>
      </c>
      <c r="I103" s="29">
        <f>($E103*I104*'Pro Forma IS'!$J$10/365)*(1+I$4)</f>
        <v>0</v>
      </c>
      <c r="J103" s="29">
        <f>($E103*J104*'Pro Forma IS'!$K$10/365)*(1+J$4)</f>
        <v>0</v>
      </c>
      <c r="K103" s="29">
        <f>SUM(F103:J103)</f>
        <v>0</v>
      </c>
    </row>
    <row r="104" spans="3:11" ht="9.75">
      <c r="C104" s="34" t="s">
        <v>91</v>
      </c>
      <c r="E104" s="120"/>
      <c r="F104" s="173">
        <f>F105*FTE8Hour</f>
        <v>0</v>
      </c>
      <c r="G104" s="173">
        <f>G105*FTE8Hour</f>
        <v>0</v>
      </c>
      <c r="H104" s="173">
        <f>H105*FTE8Hour</f>
        <v>0</v>
      </c>
      <c r="I104" s="173">
        <f>I105*FTE8Hour</f>
        <v>0</v>
      </c>
      <c r="J104" s="173">
        <f>J105*FTE8Hour</f>
        <v>0</v>
      </c>
      <c r="K104" s="29"/>
    </row>
    <row r="105" spans="3:11" ht="9.75">
      <c r="C105" s="34" t="s">
        <v>307</v>
      </c>
      <c r="E105" s="120"/>
      <c r="F105" s="175">
        <v>0</v>
      </c>
      <c r="G105" s="175">
        <v>0</v>
      </c>
      <c r="H105" s="175">
        <v>0</v>
      </c>
      <c r="I105" s="175">
        <v>0</v>
      </c>
      <c r="J105" s="175">
        <v>0</v>
      </c>
      <c r="K105" s="29"/>
    </row>
    <row r="106" spans="2:11" ht="9.75">
      <c r="B106" s="34" t="s">
        <v>49</v>
      </c>
      <c r="E106" s="170">
        <v>35000</v>
      </c>
      <c r="F106" s="29">
        <f>($E106*F107*'Pro Forma IS'!$G$10/365)*(1+F$4)</f>
        <v>0</v>
      </c>
      <c r="G106" s="29">
        <f>($E106*G107*'Pro Forma IS'!$H$10/365)*(1+G$4)</f>
        <v>0</v>
      </c>
      <c r="H106" s="29">
        <f>($E106*H107*'Pro Forma IS'!$I$10/365)*(1+H$4)</f>
        <v>0</v>
      </c>
      <c r="I106" s="29">
        <f>($E106*I107*'Pro Forma IS'!$J$10/365)*(1+I$4)</f>
        <v>0</v>
      </c>
      <c r="J106" s="29">
        <f>($E106*J107*'Pro Forma IS'!$K$10/365)*(1+J$4)</f>
        <v>0</v>
      </c>
      <c r="K106" s="29">
        <f>SUM(F106:J106)</f>
        <v>0</v>
      </c>
    </row>
    <row r="107" spans="3:11" ht="9.75">
      <c r="C107" s="34" t="s">
        <v>91</v>
      </c>
      <c r="E107" s="120"/>
      <c r="F107" s="173">
        <f>F108*FTE8Hour</f>
        <v>0</v>
      </c>
      <c r="G107" s="173">
        <f>G108*FTE8Hour</f>
        <v>0</v>
      </c>
      <c r="H107" s="173">
        <f>H108*FTE8Hour</f>
        <v>0</v>
      </c>
      <c r="I107" s="173">
        <f>I108*FTE8Hour</f>
        <v>0</v>
      </c>
      <c r="J107" s="173">
        <f>J108*FTE8Hour</f>
        <v>0</v>
      </c>
      <c r="K107" s="29"/>
    </row>
    <row r="108" spans="3:11" ht="9.75">
      <c r="C108" s="34" t="s">
        <v>307</v>
      </c>
      <c r="E108" s="120"/>
      <c r="F108" s="175">
        <v>0</v>
      </c>
      <c r="G108" s="175">
        <v>0</v>
      </c>
      <c r="H108" s="175">
        <v>0</v>
      </c>
      <c r="I108" s="175">
        <v>0</v>
      </c>
      <c r="J108" s="175">
        <v>0</v>
      </c>
      <c r="K108" s="29"/>
    </row>
    <row r="109" spans="2:11" ht="9.75">
      <c r="B109" s="34" t="s">
        <v>50</v>
      </c>
      <c r="E109" s="170">
        <f>2080*15.5</f>
        <v>32240</v>
      </c>
      <c r="F109" s="29">
        <f>($E109*F110*'Pro Forma IS'!$G$10/365)*(1+F$4)</f>
        <v>0</v>
      </c>
      <c r="G109" s="29">
        <f>($E109*G110*'Pro Forma IS'!$H$10/365)*(1+G$4)</f>
        <v>0</v>
      </c>
      <c r="H109" s="29">
        <f>($E109*H110*'Pro Forma IS'!$I$10/365)*(1+H$4)</f>
        <v>0</v>
      </c>
      <c r="I109" s="29">
        <f>($E109*I110*'Pro Forma IS'!$J$10/365)*(1+I$4)</f>
        <v>0</v>
      </c>
      <c r="J109" s="29">
        <f>($E109*J110*'Pro Forma IS'!$K$10/365)*(1+J$4)</f>
        <v>0</v>
      </c>
      <c r="K109" s="29">
        <f>SUM(F109:J109)</f>
        <v>0</v>
      </c>
    </row>
    <row r="110" spans="3:11" ht="9.75">
      <c r="C110" s="34" t="s">
        <v>91</v>
      </c>
      <c r="E110" s="120"/>
      <c r="F110" s="173">
        <f>F111*FTE8Hour</f>
        <v>0</v>
      </c>
      <c r="G110" s="173">
        <f>G111*FTE8Hour</f>
        <v>0</v>
      </c>
      <c r="H110" s="173">
        <f>H111*FTE8Hour</f>
        <v>0</v>
      </c>
      <c r="I110" s="173">
        <f>I111*FTE8Hour</f>
        <v>0</v>
      </c>
      <c r="J110" s="173">
        <f>J111*FTE8Hour</f>
        <v>0</v>
      </c>
      <c r="K110" s="29"/>
    </row>
    <row r="111" spans="3:11" ht="9.75">
      <c r="C111" s="34" t="s">
        <v>307</v>
      </c>
      <c r="E111" s="120"/>
      <c r="F111" s="175">
        <v>0</v>
      </c>
      <c r="G111" s="175">
        <v>0</v>
      </c>
      <c r="H111" s="175">
        <v>0</v>
      </c>
      <c r="I111" s="175">
        <v>0</v>
      </c>
      <c r="J111" s="175">
        <v>0</v>
      </c>
      <c r="K111" s="29"/>
    </row>
    <row r="112" spans="2:11" ht="9.75">
      <c r="B112" s="34" t="s">
        <v>51</v>
      </c>
      <c r="E112" s="170">
        <v>49920</v>
      </c>
      <c r="F112" s="29">
        <f>($E112*F113*'Pro Forma IS'!$G$10/365)*(1+F$4)</f>
        <v>0</v>
      </c>
      <c r="G112" s="29">
        <f>($E112*G113*'Pro Forma IS'!$H$10/365)*(1+G$4)</f>
        <v>0</v>
      </c>
      <c r="H112" s="29">
        <f>($E112*H113*'Pro Forma IS'!$I$10/365)*(1+H$4)</f>
        <v>0</v>
      </c>
      <c r="I112" s="29">
        <f>($E112*I113*'Pro Forma IS'!$J$10/365)*(1+I$4)</f>
        <v>0</v>
      </c>
      <c r="J112" s="29">
        <f>($E112*J113*'Pro Forma IS'!$K$10/365)*(1+J$4)</f>
        <v>0</v>
      </c>
      <c r="K112" s="29">
        <f>SUM(F112:J112)</f>
        <v>0</v>
      </c>
    </row>
    <row r="113" spans="3:11" ht="9.75">
      <c r="C113" s="34" t="s">
        <v>91</v>
      </c>
      <c r="E113" s="120"/>
      <c r="F113" s="173">
        <f>F114*FTE8Hour</f>
        <v>0</v>
      </c>
      <c r="G113" s="173">
        <f>G114*FTE8Hour</f>
        <v>0</v>
      </c>
      <c r="H113" s="173">
        <f>H114*FTE8Hour</f>
        <v>0</v>
      </c>
      <c r="I113" s="173">
        <f>I114*FTE8Hour</f>
        <v>0</v>
      </c>
      <c r="J113" s="173">
        <f>J114*FTE8Hour</f>
        <v>0</v>
      </c>
      <c r="K113" s="29"/>
    </row>
    <row r="114" spans="3:11" ht="9.75">
      <c r="C114" s="34" t="s">
        <v>307</v>
      </c>
      <c r="E114" s="120"/>
      <c r="F114" s="175">
        <v>0</v>
      </c>
      <c r="G114" s="175">
        <v>0</v>
      </c>
      <c r="H114" s="175">
        <v>0</v>
      </c>
      <c r="I114" s="175">
        <v>0</v>
      </c>
      <c r="J114" s="175">
        <v>0</v>
      </c>
      <c r="K114" s="29"/>
    </row>
    <row r="115" spans="2:11" ht="9.75">
      <c r="B115" s="34" t="s">
        <v>52</v>
      </c>
      <c r="E115" s="170">
        <v>35000</v>
      </c>
      <c r="F115" s="29">
        <f>($E115*F116*'Pro Forma IS'!$G$10/365)*(1+F$4)</f>
        <v>0</v>
      </c>
      <c r="G115" s="29">
        <f>($E115*G116*'Pro Forma IS'!$H$10/365)*(1+G$4)</f>
        <v>0</v>
      </c>
      <c r="H115" s="29">
        <f>($E115*H116*'Pro Forma IS'!$I$10/365)*(1+H$4)</f>
        <v>0</v>
      </c>
      <c r="I115" s="29">
        <f>($E115*I116*'Pro Forma IS'!$J$10/365)*(1+I$4)</f>
        <v>0</v>
      </c>
      <c r="J115" s="29">
        <f>($E115*J116*'Pro Forma IS'!$K$10/365)*(1+J$4)</f>
        <v>0</v>
      </c>
      <c r="K115" s="29">
        <f>SUM(F115:J115)</f>
        <v>0</v>
      </c>
    </row>
    <row r="116" spans="3:11" ht="9.75">
      <c r="C116" s="34" t="s">
        <v>91</v>
      </c>
      <c r="E116" s="120"/>
      <c r="F116" s="173">
        <f>F117*FTE8Hour</f>
        <v>0</v>
      </c>
      <c r="G116" s="173">
        <f>G117*FTE8Hour</f>
        <v>0</v>
      </c>
      <c r="H116" s="173">
        <f>H117*FTE8Hour</f>
        <v>0</v>
      </c>
      <c r="I116" s="173">
        <f>I117*FTE8Hour</f>
        <v>0</v>
      </c>
      <c r="J116" s="173">
        <f>J117*FTE8Hour</f>
        <v>0</v>
      </c>
      <c r="K116" s="29"/>
    </row>
    <row r="117" spans="3:11" ht="9.75">
      <c r="C117" s="34" t="s">
        <v>307</v>
      </c>
      <c r="E117" s="120"/>
      <c r="F117" s="175">
        <v>0</v>
      </c>
      <c r="G117" s="175">
        <v>0</v>
      </c>
      <c r="H117" s="175">
        <v>0</v>
      </c>
      <c r="I117" s="175">
        <v>0</v>
      </c>
      <c r="J117" s="175">
        <v>0</v>
      </c>
      <c r="K117" s="29"/>
    </row>
    <row r="118" spans="2:11" ht="9.75">
      <c r="B118" s="208" t="s">
        <v>314</v>
      </c>
      <c r="C118" s="208"/>
      <c r="D118" s="208"/>
      <c r="E118" s="170">
        <f>2080*14</f>
        <v>29120</v>
      </c>
      <c r="F118" s="29">
        <f>($E118*F119*'Pro Forma IS'!$G$10/365)*(1+F$4)</f>
        <v>0</v>
      </c>
      <c r="G118" s="29">
        <f>($E118*G119*'Pro Forma IS'!$H$10/365)*(1+G$4)</f>
        <v>0</v>
      </c>
      <c r="H118" s="29">
        <f>($E118*H119*'Pro Forma IS'!$I$10/365)*(1+H$4)</f>
        <v>0</v>
      </c>
      <c r="I118" s="29">
        <f>($E118*I119*'Pro Forma IS'!$J$10/365)*(1+I$4)</f>
        <v>0</v>
      </c>
      <c r="J118" s="29">
        <f>($E118*J119*'Pro Forma IS'!$K$10/365)*(1+J$4)</f>
        <v>0</v>
      </c>
      <c r="K118" s="29">
        <f>SUM(F118:J118)</f>
        <v>0</v>
      </c>
    </row>
    <row r="119" spans="3:11" ht="9.75">
      <c r="C119" s="34" t="s">
        <v>91</v>
      </c>
      <c r="E119" s="120"/>
      <c r="F119" s="173">
        <f>F120*FTE8Hour</f>
        <v>0</v>
      </c>
      <c r="G119" s="173">
        <f>G120*FTE8Hour</f>
        <v>0</v>
      </c>
      <c r="H119" s="173">
        <f>H120*FTE8Hour</f>
        <v>0</v>
      </c>
      <c r="I119" s="173">
        <f>I120*FTE8Hour</f>
        <v>0</v>
      </c>
      <c r="J119" s="173">
        <f>J120*FTE8Hour</f>
        <v>0</v>
      </c>
      <c r="K119" s="29"/>
    </row>
    <row r="120" spans="3:11" ht="9.75">
      <c r="C120" s="34" t="s">
        <v>307</v>
      </c>
      <c r="E120" s="120"/>
      <c r="F120" s="175">
        <v>0</v>
      </c>
      <c r="G120" s="175">
        <v>0</v>
      </c>
      <c r="H120" s="175">
        <v>0</v>
      </c>
      <c r="I120" s="175">
        <v>0</v>
      </c>
      <c r="J120" s="175">
        <v>0</v>
      </c>
      <c r="K120" s="29"/>
    </row>
    <row r="121" spans="2:11" ht="9.75">
      <c r="B121" s="34" t="s">
        <v>54</v>
      </c>
      <c r="E121" s="170">
        <v>0</v>
      </c>
      <c r="F121" s="29">
        <f>($E121*F122*'Pro Forma IS'!$G$10/365)*(1+F$4)</f>
        <v>0</v>
      </c>
      <c r="G121" s="29">
        <f>($E121*G122*'Pro Forma IS'!$H$10/365)*(1+G$4)</f>
        <v>0</v>
      </c>
      <c r="H121" s="29">
        <f>($E121*H122*'Pro Forma IS'!$I$10/365)*(1+H$4)</f>
        <v>0</v>
      </c>
      <c r="I121" s="29">
        <f>($E121*I122*'Pro Forma IS'!$J$10/365)*(1+I$4)</f>
        <v>0</v>
      </c>
      <c r="J121" s="29">
        <f>($E121*J122*'Pro Forma IS'!$K$10/365)*(1+J$4)</f>
        <v>0</v>
      </c>
      <c r="K121" s="29">
        <f>SUM(F121:J121)</f>
        <v>0</v>
      </c>
    </row>
    <row r="122" spans="3:11" ht="9.75">
      <c r="C122" s="34" t="s">
        <v>91</v>
      </c>
      <c r="E122" s="120"/>
      <c r="F122" s="173">
        <f>F123*FTE8Hour</f>
        <v>0</v>
      </c>
      <c r="G122" s="173">
        <f>G123*FTE8Hour</f>
        <v>0</v>
      </c>
      <c r="H122" s="173">
        <f>H123*FTE8Hour</f>
        <v>0</v>
      </c>
      <c r="I122" s="173">
        <f>I123*FTE8Hour</f>
        <v>0</v>
      </c>
      <c r="J122" s="173">
        <f>J123*FTE8Hour</f>
        <v>0</v>
      </c>
      <c r="K122" s="29"/>
    </row>
    <row r="123" spans="3:11" ht="9.75">
      <c r="C123" s="34" t="s">
        <v>307</v>
      </c>
      <c r="E123" s="120"/>
      <c r="F123" s="175">
        <v>0</v>
      </c>
      <c r="G123" s="175">
        <v>0</v>
      </c>
      <c r="H123" s="175">
        <v>0</v>
      </c>
      <c r="I123" s="175">
        <v>0</v>
      </c>
      <c r="J123" s="175">
        <v>0</v>
      </c>
      <c r="K123" s="29"/>
    </row>
    <row r="124" spans="5:11" ht="9.75">
      <c r="E124" s="29"/>
      <c r="F124" s="87"/>
      <c r="G124" s="87"/>
      <c r="H124" s="87"/>
      <c r="I124" s="87"/>
      <c r="J124" s="87"/>
      <c r="K124" s="29"/>
    </row>
    <row r="125" spans="2:11" ht="9.75">
      <c r="B125" s="34" t="s">
        <v>55</v>
      </c>
      <c r="E125" s="29"/>
      <c r="F125" s="29">
        <f>F100+F103+F106+F109+F112+F115+F118+F121</f>
        <v>0</v>
      </c>
      <c r="G125" s="29">
        <f>G100+G103+G106+G109+G112+G115+G118+G121</f>
        <v>0</v>
      </c>
      <c r="H125" s="29">
        <f>H100+H103+H106+H109+H112+H115+H118+H121</f>
        <v>0</v>
      </c>
      <c r="I125" s="29">
        <f>I100+I103+I106+I109+I112+I115+I118+I121</f>
        <v>0</v>
      </c>
      <c r="J125" s="29">
        <f>J100+J103+J106+J109+J112+J115+J118+J121</f>
        <v>0</v>
      </c>
      <c r="K125" s="29">
        <f>SUM(F125:J125)</f>
        <v>0</v>
      </c>
    </row>
    <row r="126" spans="5:11" ht="9.75">
      <c r="E126" s="29"/>
      <c r="F126" s="29"/>
      <c r="G126" s="29"/>
      <c r="H126" s="29"/>
      <c r="I126" s="29"/>
      <c r="J126" s="29"/>
      <c r="K126" s="29"/>
    </row>
    <row r="127" spans="5:11" ht="9.75">
      <c r="E127" s="29"/>
      <c r="F127" s="29"/>
      <c r="G127" s="29"/>
      <c r="H127" s="29"/>
      <c r="I127" s="29"/>
      <c r="J127" s="29"/>
      <c r="K127" s="29"/>
    </row>
    <row r="128" spans="5:11" ht="9.75">
      <c r="E128" s="29"/>
      <c r="F128" s="29"/>
      <c r="G128" s="29"/>
      <c r="H128" s="29"/>
      <c r="I128" s="29"/>
      <c r="J128" s="29"/>
      <c r="K128" s="29"/>
    </row>
    <row r="129" spans="5:11" ht="9.75">
      <c r="E129" s="29"/>
      <c r="F129" s="29"/>
      <c r="G129" s="29"/>
      <c r="H129" s="29"/>
      <c r="I129" s="29"/>
      <c r="J129" s="29"/>
      <c r="K129" s="29"/>
    </row>
    <row r="130" spans="5:11" ht="9.75">
      <c r="E130" s="29"/>
      <c r="F130" s="29"/>
      <c r="G130" s="29"/>
      <c r="H130" s="29"/>
      <c r="I130" s="29"/>
      <c r="J130" s="29"/>
      <c r="K130" s="29"/>
    </row>
    <row r="131" spans="5:11" ht="9.75">
      <c r="E131" s="29"/>
      <c r="F131" s="29"/>
      <c r="G131" s="29"/>
      <c r="H131" s="29"/>
      <c r="I131" s="29"/>
      <c r="J131" s="29"/>
      <c r="K131" s="29"/>
    </row>
    <row r="132" spans="5:11" ht="9.75">
      <c r="E132" s="29"/>
      <c r="F132" s="29"/>
      <c r="G132" s="29"/>
      <c r="H132" s="29"/>
      <c r="I132" s="29"/>
      <c r="J132" s="29"/>
      <c r="K132" s="29"/>
    </row>
    <row r="133" spans="5:11" ht="9.75">
      <c r="E133" s="29"/>
      <c r="F133" s="29"/>
      <c r="G133" s="29"/>
      <c r="H133" s="29"/>
      <c r="I133" s="29"/>
      <c r="J133" s="29"/>
      <c r="K133" s="29"/>
    </row>
    <row r="134" spans="1:5" ht="10.5">
      <c r="A134" s="169" t="s">
        <v>302</v>
      </c>
      <c r="E134" s="86" t="s">
        <v>44</v>
      </c>
    </row>
    <row r="135" spans="1:11" ht="10.5">
      <c r="A135" s="118" t="s">
        <v>305</v>
      </c>
      <c r="B135" s="35"/>
      <c r="C135" s="35"/>
      <c r="D135" s="35"/>
      <c r="E135" s="35" t="s">
        <v>46</v>
      </c>
      <c r="F135" s="105" t="str">
        <f>'Pro Forma IS'!G$2</f>
        <v>Year 1</v>
      </c>
      <c r="G135" s="105" t="str">
        <f>'Pro Forma IS'!H$2</f>
        <v>Year 2</v>
      </c>
      <c r="H135" s="105" t="str">
        <f>'Pro Forma IS'!I$2</f>
        <v>Year 3</v>
      </c>
      <c r="I135" s="105" t="str">
        <f>'Pro Forma IS'!J$2</f>
        <v>Year 4</v>
      </c>
      <c r="J135" s="105" t="str">
        <f>'Pro Forma IS'!K$2</f>
        <v>Year 5</v>
      </c>
      <c r="K135" s="35" t="s">
        <v>0</v>
      </c>
    </row>
    <row r="136" spans="2:11" ht="9.75">
      <c r="B136" s="34" t="s">
        <v>47</v>
      </c>
      <c r="E136" s="170">
        <v>60320</v>
      </c>
      <c r="F136" s="29">
        <f>($E136*F137*'Pro Forma IS'!$G$10/365)*(1+F$4)</f>
        <v>0</v>
      </c>
      <c r="G136" s="29">
        <f>($E136*G137*'Pro Forma IS'!$H$10/365)*(1+G$4)</f>
        <v>0</v>
      </c>
      <c r="H136" s="29">
        <f>($E136*H137*'Pro Forma IS'!$I$10/365)*(1+H$4)</f>
        <v>0</v>
      </c>
      <c r="I136" s="29">
        <f>($E136*I137*'Pro Forma IS'!$J$10/365)*(1+I$4)</f>
        <v>0</v>
      </c>
      <c r="J136" s="29">
        <f>($E136*J137*'Pro Forma IS'!$K$10/365)*(1+J$4)</f>
        <v>0</v>
      </c>
      <c r="K136" s="29">
        <f>SUM(F136:J136)</f>
        <v>0</v>
      </c>
    </row>
    <row r="137" spans="3:11" ht="9.75">
      <c r="C137" s="34" t="s">
        <v>91</v>
      </c>
      <c r="E137" s="120"/>
      <c r="F137" s="173">
        <f>F138*FTE8Hour</f>
        <v>0</v>
      </c>
      <c r="G137" s="173">
        <f>G138*FTE8Hour</f>
        <v>0</v>
      </c>
      <c r="H137" s="173">
        <f>H138*FTE8Hour</f>
        <v>0</v>
      </c>
      <c r="I137" s="173">
        <f>I138*FTE8Hour</f>
        <v>0</v>
      </c>
      <c r="J137" s="173">
        <f>J138*FTE8Hour</f>
        <v>0</v>
      </c>
      <c r="K137" s="29"/>
    </row>
    <row r="138" spans="3:11" ht="9.75">
      <c r="C138" s="34" t="s">
        <v>307</v>
      </c>
      <c r="E138" s="120"/>
      <c r="F138" s="175">
        <v>0</v>
      </c>
      <c r="G138" s="175">
        <v>0</v>
      </c>
      <c r="H138" s="175">
        <v>0</v>
      </c>
      <c r="I138" s="175">
        <v>0</v>
      </c>
      <c r="J138" s="175">
        <v>0</v>
      </c>
      <c r="K138" s="29"/>
    </row>
    <row r="139" spans="2:11" ht="9.75">
      <c r="B139" s="34" t="s">
        <v>48</v>
      </c>
      <c r="E139" s="170">
        <v>60000</v>
      </c>
      <c r="F139" s="29">
        <f>($E139*F140*'Pro Forma IS'!$G$10/365)*(1+F$4)</f>
        <v>0</v>
      </c>
      <c r="G139" s="29">
        <f>($E139*G140*'Pro Forma IS'!$H$10/365)*(1+G$4)</f>
        <v>0</v>
      </c>
      <c r="H139" s="29">
        <f>($E139*H140*'Pro Forma IS'!$I$10/365)*(1+H$4)</f>
        <v>0</v>
      </c>
      <c r="I139" s="29">
        <f>($E139*I140*'Pro Forma IS'!$J$10/365)*(1+I$4)</f>
        <v>0</v>
      </c>
      <c r="J139" s="29">
        <f>($E139*J140*'Pro Forma IS'!$K$10/365)*(1+J$4)</f>
        <v>0</v>
      </c>
      <c r="K139" s="29">
        <f>SUM(F139:J139)</f>
        <v>0</v>
      </c>
    </row>
    <row r="140" spans="3:11" ht="9.75">
      <c r="C140" s="34" t="s">
        <v>91</v>
      </c>
      <c r="E140" s="120"/>
      <c r="F140" s="173">
        <f>F141*FTE8Hour</f>
        <v>0</v>
      </c>
      <c r="G140" s="173">
        <f>G141*FTE8Hour</f>
        <v>0</v>
      </c>
      <c r="H140" s="173">
        <f>H141*FTE8Hour</f>
        <v>0</v>
      </c>
      <c r="I140" s="173">
        <f>I141*FTE8Hour</f>
        <v>0</v>
      </c>
      <c r="J140" s="173">
        <f>J141*FTE8Hour</f>
        <v>0</v>
      </c>
      <c r="K140" s="29"/>
    </row>
    <row r="141" spans="3:11" ht="9.75">
      <c r="C141" s="34" t="s">
        <v>307</v>
      </c>
      <c r="E141" s="120"/>
      <c r="F141" s="175">
        <v>0</v>
      </c>
      <c r="G141" s="175">
        <v>0</v>
      </c>
      <c r="H141" s="175">
        <v>0</v>
      </c>
      <c r="I141" s="175">
        <v>0</v>
      </c>
      <c r="J141" s="175">
        <v>0</v>
      </c>
      <c r="K141" s="29"/>
    </row>
    <row r="142" spans="2:11" ht="9.75">
      <c r="B142" s="34" t="s">
        <v>49</v>
      </c>
      <c r="E142" s="170">
        <v>35000</v>
      </c>
      <c r="F142" s="29">
        <f>($E142*F143*'Pro Forma IS'!$G$10/365)*(1+F$4)</f>
        <v>0</v>
      </c>
      <c r="G142" s="29">
        <f>($E142*G143*'Pro Forma IS'!$H$10/365)*(1+G$4)</f>
        <v>0</v>
      </c>
      <c r="H142" s="29">
        <f>($E142*H143*'Pro Forma IS'!$I$10/365)*(1+H$4)</f>
        <v>0</v>
      </c>
      <c r="I142" s="29">
        <f>($E142*I143*'Pro Forma IS'!$J$10/365)*(1+I$4)</f>
        <v>0</v>
      </c>
      <c r="J142" s="29">
        <f>($E142*J143*'Pro Forma IS'!$K$10/365)*(1+J$4)</f>
        <v>0</v>
      </c>
      <c r="K142" s="29">
        <f>SUM(F142:J142)</f>
        <v>0</v>
      </c>
    </row>
    <row r="143" spans="3:11" ht="9.75">
      <c r="C143" s="34" t="s">
        <v>91</v>
      </c>
      <c r="E143" s="120"/>
      <c r="F143" s="173">
        <f>F144*FTE8Hour</f>
        <v>0</v>
      </c>
      <c r="G143" s="173">
        <f>G144*FTE8Hour</f>
        <v>0</v>
      </c>
      <c r="H143" s="173">
        <f>H144*FTE8Hour</f>
        <v>0</v>
      </c>
      <c r="I143" s="173">
        <f>I144*FTE8Hour</f>
        <v>0</v>
      </c>
      <c r="J143" s="173">
        <f>J144*FTE8Hour</f>
        <v>0</v>
      </c>
      <c r="K143" s="29"/>
    </row>
    <row r="144" spans="3:11" ht="9.75">
      <c r="C144" s="34" t="s">
        <v>307</v>
      </c>
      <c r="E144" s="120"/>
      <c r="F144" s="175">
        <v>0</v>
      </c>
      <c r="G144" s="175">
        <v>0</v>
      </c>
      <c r="H144" s="175">
        <v>0</v>
      </c>
      <c r="I144" s="175">
        <v>0</v>
      </c>
      <c r="J144" s="175">
        <v>0</v>
      </c>
      <c r="K144" s="29"/>
    </row>
    <row r="145" spans="2:11" ht="9.75">
      <c r="B145" s="34" t="s">
        <v>50</v>
      </c>
      <c r="E145" s="170">
        <f>2080*15.5</f>
        <v>32240</v>
      </c>
      <c r="F145" s="29">
        <f>($E145*F146*'Pro Forma IS'!$G$10/365)*(1+F$4)</f>
        <v>0</v>
      </c>
      <c r="G145" s="29">
        <f>($E145*G146*'Pro Forma IS'!$H$10/365)*(1+G$4)</f>
        <v>0</v>
      </c>
      <c r="H145" s="29">
        <f>($E145*H146*'Pro Forma IS'!$I$10/365)*(1+H$4)</f>
        <v>0</v>
      </c>
      <c r="I145" s="29">
        <f>($E145*I146*'Pro Forma IS'!$J$10/365)*(1+I$4)</f>
        <v>0</v>
      </c>
      <c r="J145" s="29">
        <f>($E145*J146*'Pro Forma IS'!$K$10/365)*(1+J$4)</f>
        <v>0</v>
      </c>
      <c r="K145" s="29">
        <f>SUM(F145:J145)</f>
        <v>0</v>
      </c>
    </row>
    <row r="146" spans="3:11" ht="9.75">
      <c r="C146" s="34" t="s">
        <v>91</v>
      </c>
      <c r="E146" s="120"/>
      <c r="F146" s="173">
        <f>F147*FTE8Hour</f>
        <v>0</v>
      </c>
      <c r="G146" s="173">
        <f>G147*FTE8Hour</f>
        <v>0</v>
      </c>
      <c r="H146" s="173">
        <f>H147*FTE8Hour</f>
        <v>0</v>
      </c>
      <c r="I146" s="173">
        <f>I147*FTE8Hour</f>
        <v>0</v>
      </c>
      <c r="J146" s="173">
        <f>J147*FTE8Hour</f>
        <v>0</v>
      </c>
      <c r="K146" s="29"/>
    </row>
    <row r="147" spans="3:11" ht="9.75">
      <c r="C147" s="34" t="s">
        <v>307</v>
      </c>
      <c r="E147" s="120"/>
      <c r="F147" s="175">
        <v>0</v>
      </c>
      <c r="G147" s="175">
        <v>0</v>
      </c>
      <c r="H147" s="175">
        <v>0</v>
      </c>
      <c r="I147" s="175">
        <v>0</v>
      </c>
      <c r="J147" s="175">
        <v>0</v>
      </c>
      <c r="K147" s="29"/>
    </row>
    <row r="148" spans="2:11" ht="9.75">
      <c r="B148" s="34" t="s">
        <v>51</v>
      </c>
      <c r="E148" s="170">
        <f>2080*24</f>
        <v>49920</v>
      </c>
      <c r="F148" s="29">
        <f>($E148*F149*'Pro Forma IS'!$G$10/365)*(1+F$4)</f>
        <v>0</v>
      </c>
      <c r="G148" s="29">
        <f>($E148*G149*'Pro Forma IS'!$H$10/365)*(1+G$4)</f>
        <v>0</v>
      </c>
      <c r="H148" s="29">
        <f>($E148*H149*'Pro Forma IS'!$I$10/365)*(1+H$4)</f>
        <v>0</v>
      </c>
      <c r="I148" s="29">
        <f>($E148*I149*'Pro Forma IS'!$J$10/365)*(1+I$4)</f>
        <v>0</v>
      </c>
      <c r="J148" s="29">
        <f>($E148*J149*'Pro Forma IS'!$K$10/365)*(1+J$4)</f>
        <v>0</v>
      </c>
      <c r="K148" s="29">
        <f>SUM(F148:J148)</f>
        <v>0</v>
      </c>
    </row>
    <row r="149" spans="3:11" ht="9.75">
      <c r="C149" s="34" t="s">
        <v>91</v>
      </c>
      <c r="E149" s="120"/>
      <c r="F149" s="173">
        <f>F150*FTE8Hour</f>
        <v>0</v>
      </c>
      <c r="G149" s="173">
        <f>G150*FTE8Hour</f>
        <v>0</v>
      </c>
      <c r="H149" s="173">
        <f>H150*FTE8Hour</f>
        <v>0</v>
      </c>
      <c r="I149" s="173">
        <f>I150*FTE8Hour</f>
        <v>0</v>
      </c>
      <c r="J149" s="173">
        <f>J150*FTE8Hour</f>
        <v>0</v>
      </c>
      <c r="K149" s="29"/>
    </row>
    <row r="150" spans="3:11" ht="9.75">
      <c r="C150" s="34" t="s">
        <v>307</v>
      </c>
      <c r="E150" s="120"/>
      <c r="F150" s="175">
        <v>0</v>
      </c>
      <c r="G150" s="175">
        <v>0</v>
      </c>
      <c r="H150" s="175">
        <v>0</v>
      </c>
      <c r="I150" s="175">
        <v>0</v>
      </c>
      <c r="J150" s="175">
        <v>0</v>
      </c>
      <c r="K150" s="29"/>
    </row>
    <row r="151" spans="2:11" ht="9.75">
      <c r="B151" s="34" t="s">
        <v>52</v>
      </c>
      <c r="E151" s="170">
        <v>35000</v>
      </c>
      <c r="F151" s="29">
        <f>($E151*F152*'Pro Forma IS'!$G$10/365)*(1+F$4)</f>
        <v>0</v>
      </c>
      <c r="G151" s="29">
        <f>($E151*G152*'Pro Forma IS'!$H$10/365)*(1+G$4)</f>
        <v>0</v>
      </c>
      <c r="H151" s="29">
        <f>($E151*H152*'Pro Forma IS'!$I$10/365)*(1+H$4)</f>
        <v>0</v>
      </c>
      <c r="I151" s="29">
        <f>($E151*I152*'Pro Forma IS'!$J$10/365)*(1+I$4)</f>
        <v>0</v>
      </c>
      <c r="J151" s="29">
        <f>($E151*J152*'Pro Forma IS'!$K$10/365)*(1+J$4)</f>
        <v>0</v>
      </c>
      <c r="K151" s="29">
        <f>SUM(F151:J151)</f>
        <v>0</v>
      </c>
    </row>
    <row r="152" spans="3:11" ht="9.75">
      <c r="C152" s="34" t="s">
        <v>91</v>
      </c>
      <c r="E152" s="120"/>
      <c r="F152" s="173">
        <f>F153*FTE8Hour</f>
        <v>0</v>
      </c>
      <c r="G152" s="173">
        <f>G153*FTE8Hour</f>
        <v>0</v>
      </c>
      <c r="H152" s="173">
        <f>H153*FTE8Hour</f>
        <v>0</v>
      </c>
      <c r="I152" s="173">
        <f>I153*FTE8Hour</f>
        <v>0</v>
      </c>
      <c r="J152" s="173">
        <f>J153*FTE8Hour</f>
        <v>0</v>
      </c>
      <c r="K152" s="29"/>
    </row>
    <row r="153" spans="3:11" ht="9.75">
      <c r="C153" s="34" t="s">
        <v>307</v>
      </c>
      <c r="E153" s="120"/>
      <c r="F153" s="175">
        <v>0</v>
      </c>
      <c r="G153" s="175">
        <v>0</v>
      </c>
      <c r="H153" s="175">
        <v>0</v>
      </c>
      <c r="I153" s="175">
        <v>0</v>
      </c>
      <c r="J153" s="175">
        <v>0</v>
      </c>
      <c r="K153" s="29"/>
    </row>
    <row r="154" spans="2:11" ht="9.75">
      <c r="B154" s="208" t="s">
        <v>74</v>
      </c>
      <c r="C154" s="208"/>
      <c r="D154" s="208"/>
      <c r="E154" s="170">
        <v>0</v>
      </c>
      <c r="F154" s="29">
        <f>($E154*F155*'Pro Forma IS'!$G$10/365)*(1+F$4)</f>
        <v>0</v>
      </c>
      <c r="G154" s="29">
        <f>($E154*G155*'Pro Forma IS'!$H$10/365)*(1+G$4)</f>
        <v>0</v>
      </c>
      <c r="H154" s="29">
        <f>($E154*H155*'Pro Forma IS'!$I$10/365)*(1+H$4)</f>
        <v>0</v>
      </c>
      <c r="I154" s="29">
        <f>($E154*I155*'Pro Forma IS'!$J$10/365)*(1+I$4)</f>
        <v>0</v>
      </c>
      <c r="J154" s="29">
        <f>($E154*J155*'Pro Forma IS'!$K$10/365)*(1+J$4)</f>
        <v>0</v>
      </c>
      <c r="K154" s="29">
        <f>SUM(F154:J154)</f>
        <v>0</v>
      </c>
    </row>
    <row r="155" spans="3:11" ht="9.75">
      <c r="C155" s="34" t="s">
        <v>91</v>
      </c>
      <c r="E155" s="120"/>
      <c r="F155" s="173">
        <f>F156*FTE8Hour</f>
        <v>0</v>
      </c>
      <c r="G155" s="173">
        <f>G156*FTE8Hour</f>
        <v>0</v>
      </c>
      <c r="H155" s="173">
        <f>H156*FTE8Hour</f>
        <v>0</v>
      </c>
      <c r="I155" s="173">
        <f>I156*FTE8Hour</f>
        <v>0</v>
      </c>
      <c r="J155" s="173">
        <f>J156*FTE8Hour</f>
        <v>0</v>
      </c>
      <c r="K155" s="29"/>
    </row>
    <row r="156" spans="3:11" ht="9.75">
      <c r="C156" s="34" t="s">
        <v>307</v>
      </c>
      <c r="E156" s="120"/>
      <c r="F156" s="175">
        <v>0</v>
      </c>
      <c r="G156" s="175">
        <v>0</v>
      </c>
      <c r="H156" s="175">
        <v>0</v>
      </c>
      <c r="I156" s="175">
        <v>0</v>
      </c>
      <c r="J156" s="175">
        <v>0</v>
      </c>
      <c r="K156" s="29"/>
    </row>
    <row r="157" spans="2:11" ht="9.75">
      <c r="B157" s="208" t="s">
        <v>74</v>
      </c>
      <c r="C157" s="208"/>
      <c r="D157" s="208"/>
      <c r="E157" s="170">
        <v>0</v>
      </c>
      <c r="F157" s="29">
        <f>($E157*F158*'Pro Forma IS'!$G$10/365)*(1+F$4)</f>
        <v>0</v>
      </c>
      <c r="G157" s="29">
        <f>($E157*G158*'Pro Forma IS'!$H$10/365)*(1+G$4)</f>
        <v>0</v>
      </c>
      <c r="H157" s="29">
        <f>($E157*H158*'Pro Forma IS'!$I$10/365)*(1+H$4)</f>
        <v>0</v>
      </c>
      <c r="I157" s="29">
        <f>($E157*I158*'Pro Forma IS'!$J$10/365)*(1+I$4)</f>
        <v>0</v>
      </c>
      <c r="J157" s="29">
        <f>($E157*J158*'Pro Forma IS'!$K$10/365)*(1+J$4)</f>
        <v>0</v>
      </c>
      <c r="K157" s="29">
        <f>SUM(F157:J157)</f>
        <v>0</v>
      </c>
    </row>
    <row r="158" spans="3:11" ht="9.75">
      <c r="C158" s="34" t="s">
        <v>91</v>
      </c>
      <c r="E158" s="120"/>
      <c r="F158" s="173">
        <f>F159*FTE8Hour</f>
        <v>0</v>
      </c>
      <c r="G158" s="173">
        <f>G159*FTE8Hour</f>
        <v>0</v>
      </c>
      <c r="H158" s="173">
        <f>H159*FTE8Hour</f>
        <v>0</v>
      </c>
      <c r="I158" s="173">
        <f>I159*FTE8Hour</f>
        <v>0</v>
      </c>
      <c r="J158" s="173">
        <f>J159*FTE8Hour</f>
        <v>0</v>
      </c>
      <c r="K158" s="29"/>
    </row>
    <row r="159" spans="3:11" ht="9.75">
      <c r="C159" s="34" t="s">
        <v>307</v>
      </c>
      <c r="E159" s="120"/>
      <c r="F159" s="175">
        <v>0</v>
      </c>
      <c r="G159" s="175">
        <v>0</v>
      </c>
      <c r="H159" s="175">
        <v>0</v>
      </c>
      <c r="I159" s="175">
        <v>0</v>
      </c>
      <c r="J159" s="175">
        <v>0</v>
      </c>
      <c r="K159" s="29"/>
    </row>
    <row r="160" spans="5:11" ht="9.75">
      <c r="E160" s="29"/>
      <c r="F160" s="87"/>
      <c r="G160" s="87"/>
      <c r="H160" s="87"/>
      <c r="I160" s="87"/>
      <c r="J160" s="87"/>
      <c r="K160" s="29"/>
    </row>
    <row r="161" spans="2:11" ht="9.75">
      <c r="B161" s="34" t="s">
        <v>55</v>
      </c>
      <c r="E161" s="29"/>
      <c r="F161" s="29">
        <f>F136+F139+F142+F145+F148+F151+F154+F157</f>
        <v>0</v>
      </c>
      <c r="G161" s="29">
        <f>G136+G139+G142+G145+G148+G151+G154+G157</f>
        <v>0</v>
      </c>
      <c r="H161" s="29">
        <f>H136+H139+H142+H145+H148+H151+H154+H157</f>
        <v>0</v>
      </c>
      <c r="I161" s="29">
        <f>I136+I139+I142+I145+I148+I151+I154+I157</f>
        <v>0</v>
      </c>
      <c r="J161" s="29">
        <f>J136+J139+J142+J145+J148+J151+J154+J157</f>
        <v>0</v>
      </c>
      <c r="K161" s="29">
        <f>SUM(F161:J161)</f>
        <v>0</v>
      </c>
    </row>
    <row r="162" spans="5:11" ht="9.75">
      <c r="E162" s="29"/>
      <c r="F162" s="29"/>
      <c r="G162" s="29"/>
      <c r="H162" s="29"/>
      <c r="I162" s="29"/>
      <c r="J162" s="29"/>
      <c r="K162" s="29"/>
    </row>
    <row r="163" spans="5:11" ht="9.75">
      <c r="E163" s="29"/>
      <c r="F163" s="29"/>
      <c r="G163" s="29"/>
      <c r="H163" s="29"/>
      <c r="I163" s="29"/>
      <c r="J163" s="29"/>
      <c r="K163" s="29"/>
    </row>
    <row r="164" spans="3:11" ht="9.75">
      <c r="C164" s="34" t="s">
        <v>57</v>
      </c>
      <c r="E164" s="29"/>
      <c r="F164" s="121">
        <f>F33+F62+F96+F125+F161</f>
        <v>1472535.0473282444</v>
      </c>
      <c r="G164" s="121">
        <f>G33+G62+G96+G125+G161</f>
        <v>1516711.0987480916</v>
      </c>
      <c r="H164" s="121">
        <f>H33+H62+H96+H125+H161</f>
        <v>1560887.150167939</v>
      </c>
      <c r="I164" s="121">
        <f>I33+I62+I96+I125+I161</f>
        <v>1605063.2015877864</v>
      </c>
      <c r="J164" s="121">
        <f>J33+J62+J96+J125+J161</f>
        <v>1649239.2530076336</v>
      </c>
      <c r="K164" s="121">
        <f>SUM(F164:J164)</f>
        <v>7804435.750839695</v>
      </c>
    </row>
    <row r="166" spans="3:11" ht="9.75">
      <c r="C166" s="34" t="s">
        <v>58</v>
      </c>
      <c r="E166" s="122">
        <v>0.22</v>
      </c>
      <c r="F166" s="29">
        <f>F164*$E$166</f>
        <v>323957.71041221375</v>
      </c>
      <c r="G166" s="29">
        <f>G164*$E$166</f>
        <v>333676.44172458013</v>
      </c>
      <c r="H166" s="29">
        <f>H164*$E$166</f>
        <v>343395.17303694657</v>
      </c>
      <c r="I166" s="29">
        <f>I164*$E$166</f>
        <v>353113.904349313</v>
      </c>
      <c r="J166" s="29">
        <f>J164*$E$166</f>
        <v>362832.6356616794</v>
      </c>
      <c r="K166" s="29">
        <f>SUM(F166:J166)</f>
        <v>1716975.8651847327</v>
      </c>
    </row>
    <row r="167" spans="5:11" ht="9.75">
      <c r="E167" s="37"/>
      <c r="F167" s="29"/>
      <c r="G167" s="29"/>
      <c r="H167" s="29"/>
      <c r="I167" s="29"/>
      <c r="J167" s="29"/>
      <c r="K167" s="29"/>
    </row>
    <row r="168" spans="2:11" ht="9.75" hidden="1">
      <c r="B168" s="34" t="s">
        <v>59</v>
      </c>
      <c r="E168" s="37"/>
      <c r="F168" s="29"/>
      <c r="G168" s="29"/>
      <c r="H168" s="29"/>
      <c r="I168" s="29"/>
      <c r="J168" s="29"/>
      <c r="K168" s="29"/>
    </row>
    <row r="169" spans="3:11" ht="9.75" hidden="1">
      <c r="C169" s="34" t="s">
        <v>48</v>
      </c>
      <c r="D169" s="123">
        <v>17</v>
      </c>
      <c r="E169" s="124">
        <v>0</v>
      </c>
      <c r="F169" s="29">
        <v>0</v>
      </c>
      <c r="G169" s="29">
        <v>0</v>
      </c>
      <c r="H169" s="29">
        <v>0</v>
      </c>
      <c r="I169" s="29">
        <v>0</v>
      </c>
      <c r="J169" s="29">
        <v>0</v>
      </c>
      <c r="K169" s="29">
        <f>SUM(F169:J169)</f>
        <v>0</v>
      </c>
    </row>
    <row r="170" spans="3:11" ht="9.75" hidden="1">
      <c r="C170" s="34" t="s">
        <v>49</v>
      </c>
      <c r="D170" s="123">
        <v>14</v>
      </c>
      <c r="E170" s="124">
        <v>0</v>
      </c>
      <c r="F170" s="29">
        <f>122*12*$E$170/12</f>
        <v>0</v>
      </c>
      <c r="G170" s="29">
        <f>122*12*$E$170/12</f>
        <v>0</v>
      </c>
      <c r="H170" s="29">
        <f>122*12*$E$170/12</f>
        <v>0</v>
      </c>
      <c r="I170" s="29">
        <f>122*12*$E$170/12</f>
        <v>0</v>
      </c>
      <c r="J170" s="29">
        <f>122*12*$E$170/12</f>
        <v>0</v>
      </c>
      <c r="K170" s="29">
        <f>SUM(F170:J170)</f>
        <v>0</v>
      </c>
    </row>
    <row r="171" spans="3:11" ht="9.75" hidden="1">
      <c r="C171" s="34" t="s">
        <v>50</v>
      </c>
      <c r="D171" s="123">
        <v>8</v>
      </c>
      <c r="E171" s="124">
        <v>0</v>
      </c>
      <c r="F171" s="29">
        <f>122*12*$E$171/12</f>
        <v>0</v>
      </c>
      <c r="G171" s="29">
        <f>122*12*$E$171/12</f>
        <v>0</v>
      </c>
      <c r="H171" s="29">
        <f>122*12*$E$171/12</f>
        <v>0</v>
      </c>
      <c r="I171" s="29">
        <f>122*12*$E$171/12</f>
        <v>0</v>
      </c>
      <c r="J171" s="29">
        <f>122*12*$E$171/12</f>
        <v>0</v>
      </c>
      <c r="K171" s="29">
        <f>SUM(F171:J171)</f>
        <v>0</v>
      </c>
    </row>
    <row r="172" spans="5:11" ht="9.75" hidden="1">
      <c r="E172" s="37"/>
      <c r="F172" s="29"/>
      <c r="G172" s="29"/>
      <c r="H172" s="29"/>
      <c r="I172" s="29"/>
      <c r="J172" s="29"/>
      <c r="K172" s="29"/>
    </row>
    <row r="173" spans="3:11" ht="9.75" hidden="1">
      <c r="C173" s="34" t="s">
        <v>60</v>
      </c>
      <c r="E173" s="125">
        <v>0.0765</v>
      </c>
      <c r="F173" s="29">
        <f>SUM(F169:F171)*$E$173</f>
        <v>0</v>
      </c>
      <c r="G173" s="29">
        <f>SUM(G169:G171)*$E$173</f>
        <v>0</v>
      </c>
      <c r="H173" s="29">
        <f>SUM(H169:H171)*$E$173</f>
        <v>0</v>
      </c>
      <c r="I173" s="29">
        <f>SUM(I169:I171)*$E$173</f>
        <v>0</v>
      </c>
      <c r="J173" s="29">
        <f>SUM(J169:J171)*$E$173</f>
        <v>0</v>
      </c>
      <c r="K173" s="29">
        <f>SUM(F173:J173)</f>
        <v>0</v>
      </c>
    </row>
    <row r="174" spans="5:11" ht="9.75" hidden="1">
      <c r="E174" s="126"/>
      <c r="F174" s="29"/>
      <c r="G174" s="29"/>
      <c r="H174" s="29"/>
      <c r="I174" s="29"/>
      <c r="J174" s="29"/>
      <c r="K174" s="29"/>
    </row>
    <row r="175" spans="3:11" ht="9.75" hidden="1">
      <c r="C175" s="34" t="s">
        <v>61</v>
      </c>
      <c r="E175" s="37"/>
      <c r="F175" s="31">
        <f>SUM(F169:F173)</f>
        <v>0</v>
      </c>
      <c r="G175" s="31">
        <f>SUM(G169:G173)</f>
        <v>0</v>
      </c>
      <c r="H175" s="31">
        <f>SUM(H169:H173)</f>
        <v>0</v>
      </c>
      <c r="I175" s="31">
        <f>SUM(I169:I173)</f>
        <v>0</v>
      </c>
      <c r="J175" s="31">
        <f>SUM(J169:J173)</f>
        <v>0</v>
      </c>
      <c r="K175" s="31">
        <f>SUM(F175:J175)</f>
        <v>0</v>
      </c>
    </row>
    <row r="177" spans="3:11" ht="10.5" thickBot="1">
      <c r="C177" s="34" t="s">
        <v>62</v>
      </c>
      <c r="F177" s="127">
        <f>F164+F166+F175</f>
        <v>1796492.7577404582</v>
      </c>
      <c r="G177" s="127">
        <f>G164+G166+G175</f>
        <v>1850387.5404726719</v>
      </c>
      <c r="H177" s="127">
        <f>H164+H166+H175</f>
        <v>1904282.3232048857</v>
      </c>
      <c r="I177" s="127">
        <f>I164+I166+I175</f>
        <v>1958177.1059370995</v>
      </c>
      <c r="J177" s="127">
        <f>J164+J166+J175</f>
        <v>2012071.888669313</v>
      </c>
      <c r="K177" s="33">
        <f>SUM(F177:J177)</f>
        <v>9521411.616024427</v>
      </c>
    </row>
    <row r="178" spans="6:11" ht="10.5" thickTop="1">
      <c r="F178" s="128"/>
      <c r="G178" s="128"/>
      <c r="H178" s="128"/>
      <c r="I178" s="128"/>
      <c r="J178" s="128"/>
      <c r="K178" s="30"/>
    </row>
    <row r="179" spans="6:11" ht="9.75">
      <c r="F179" s="128"/>
      <c r="G179" s="128"/>
      <c r="H179" s="128"/>
      <c r="I179" s="128"/>
      <c r="J179" s="128"/>
      <c r="K179" s="30"/>
    </row>
    <row r="180" spans="6:11" ht="9.75">
      <c r="F180" s="128"/>
      <c r="G180" s="128"/>
      <c r="H180" s="128"/>
      <c r="I180" s="128"/>
      <c r="J180" s="128"/>
      <c r="K180" s="30"/>
    </row>
    <row r="181" spans="6:11" ht="9.75">
      <c r="F181" s="128"/>
      <c r="G181" s="128"/>
      <c r="H181" s="128"/>
      <c r="I181" s="128"/>
      <c r="J181" s="128"/>
      <c r="K181" s="30"/>
    </row>
    <row r="182" spans="6:11" ht="9.75">
      <c r="F182" s="128"/>
      <c r="G182" s="128"/>
      <c r="H182" s="128"/>
      <c r="I182" s="128"/>
      <c r="J182" s="128"/>
      <c r="K182" s="30"/>
    </row>
    <row r="183" spans="6:11" ht="9.75">
      <c r="F183" s="128"/>
      <c r="G183" s="128"/>
      <c r="H183" s="128"/>
      <c r="I183" s="128"/>
      <c r="J183" s="128"/>
      <c r="K183" s="30"/>
    </row>
    <row r="184" spans="6:11" ht="9.75">
      <c r="F184" s="128"/>
      <c r="G184" s="128"/>
      <c r="H184" s="128"/>
      <c r="I184" s="128"/>
      <c r="J184" s="128"/>
      <c r="K184" s="30"/>
    </row>
    <row r="185" spans="6:11" ht="9.75">
      <c r="F185" s="128"/>
      <c r="G185" s="128"/>
      <c r="H185" s="128"/>
      <c r="I185" s="128"/>
      <c r="J185" s="128"/>
      <c r="K185" s="30"/>
    </row>
    <row r="186" spans="3:11" ht="9.75">
      <c r="C186" s="148" t="str">
        <f>Reserved</f>
        <v>This product was created by Multi-View Incorporated.  It is reserved for the exclusive use of MVI clients. Need help?  828-698-5885</v>
      </c>
      <c r="F186" s="128"/>
      <c r="G186" s="128"/>
      <c r="H186" s="128"/>
      <c r="I186" s="128"/>
      <c r="J186" s="128"/>
      <c r="K186" s="30"/>
    </row>
    <row r="187" spans="6:11" ht="9.75">
      <c r="F187" s="128"/>
      <c r="G187" s="128"/>
      <c r="H187" s="128"/>
      <c r="I187" s="128"/>
      <c r="J187" s="128"/>
      <c r="K187" s="30"/>
    </row>
    <row r="188" spans="6:11" ht="9.75">
      <c r="F188" s="128"/>
      <c r="G188" s="128"/>
      <c r="H188" s="128"/>
      <c r="I188" s="128"/>
      <c r="J188" s="128"/>
      <c r="K188" s="30"/>
    </row>
    <row r="189" spans="6:11" ht="9.75">
      <c r="F189" s="128"/>
      <c r="G189" s="128"/>
      <c r="H189" s="128"/>
      <c r="I189" s="128"/>
      <c r="J189" s="128"/>
      <c r="K189" s="30"/>
    </row>
    <row r="190" spans="6:11" ht="9.75">
      <c r="F190" s="128"/>
      <c r="G190" s="128"/>
      <c r="H190" s="128"/>
      <c r="I190" s="128"/>
      <c r="J190" s="128"/>
      <c r="K190" s="30"/>
    </row>
    <row r="191" spans="6:11" ht="9.75">
      <c r="F191" s="128"/>
      <c r="G191" s="128"/>
      <c r="H191" s="128"/>
      <c r="I191" s="128"/>
      <c r="J191" s="128"/>
      <c r="K191" s="30"/>
    </row>
    <row r="192" spans="6:11" ht="9.75">
      <c r="F192" s="128"/>
      <c r="G192" s="128"/>
      <c r="H192" s="128"/>
      <c r="I192" s="128"/>
      <c r="J192" s="128"/>
      <c r="K192" s="30"/>
    </row>
    <row r="193" spans="6:11" ht="9.75">
      <c r="F193" s="128"/>
      <c r="G193" s="128"/>
      <c r="H193" s="128"/>
      <c r="I193" s="128"/>
      <c r="J193" s="128"/>
      <c r="K193" s="30"/>
    </row>
    <row r="194" spans="6:11" ht="9.75">
      <c r="F194" s="128"/>
      <c r="G194" s="128"/>
      <c r="H194" s="128"/>
      <c r="I194" s="128"/>
      <c r="J194" s="128"/>
      <c r="K194" s="30"/>
    </row>
    <row r="195" spans="6:11" ht="9.75">
      <c r="F195" s="128"/>
      <c r="G195" s="128"/>
      <c r="H195" s="128"/>
      <c r="I195" s="128"/>
      <c r="J195" s="128"/>
      <c r="K195" s="30"/>
    </row>
    <row r="196" spans="6:11" ht="9.75">
      <c r="F196" s="128"/>
      <c r="G196" s="128"/>
      <c r="H196" s="128"/>
      <c r="I196" s="128"/>
      <c r="J196" s="128"/>
      <c r="K196" s="30"/>
    </row>
    <row r="197" spans="6:11" ht="9.75">
      <c r="F197" s="128"/>
      <c r="G197" s="128"/>
      <c r="H197" s="128"/>
      <c r="I197" s="128"/>
      <c r="J197" s="128"/>
      <c r="K197" s="30"/>
    </row>
    <row r="198" spans="6:11" ht="9.75">
      <c r="F198" s="128"/>
      <c r="G198" s="128"/>
      <c r="H198" s="128"/>
      <c r="I198" s="128"/>
      <c r="J198" s="128"/>
      <c r="K198" s="30"/>
    </row>
    <row r="199" spans="6:11" ht="9.75">
      <c r="F199" s="128"/>
      <c r="G199" s="128"/>
      <c r="H199" s="128"/>
      <c r="I199" s="128"/>
      <c r="J199" s="128"/>
      <c r="K199" s="30"/>
    </row>
    <row r="200" spans="6:11" ht="9.75">
      <c r="F200" s="128"/>
      <c r="G200" s="128"/>
      <c r="H200" s="128"/>
      <c r="I200" s="128"/>
      <c r="J200" s="128"/>
      <c r="K200" s="30"/>
    </row>
    <row r="201" spans="6:11" ht="9.75">
      <c r="F201" s="128"/>
      <c r="G201" s="128"/>
      <c r="H201" s="128"/>
      <c r="I201" s="128"/>
      <c r="J201" s="128"/>
      <c r="K201" s="30"/>
    </row>
    <row r="202" spans="6:11" ht="9.75">
      <c r="F202" s="128"/>
      <c r="G202" s="128"/>
      <c r="H202" s="128"/>
      <c r="I202" s="128"/>
      <c r="J202" s="128"/>
      <c r="K202" s="30"/>
    </row>
    <row r="203" spans="6:11" ht="9.75">
      <c r="F203" s="128"/>
      <c r="G203" s="128"/>
      <c r="H203" s="128"/>
      <c r="I203" s="128"/>
      <c r="J203" s="128"/>
      <c r="K203" s="30"/>
    </row>
    <row r="204" spans="6:11" ht="12" customHeight="1">
      <c r="F204" s="128"/>
      <c r="G204" s="128"/>
      <c r="H204" s="128"/>
      <c r="I204" s="128"/>
      <c r="J204" s="128"/>
      <c r="K204" s="30"/>
    </row>
    <row r="205" spans="6:11" ht="9.75">
      <c r="F205" s="128"/>
      <c r="G205" s="128"/>
      <c r="H205" s="128"/>
      <c r="I205" s="128"/>
      <c r="J205" s="128"/>
      <c r="K205" s="30"/>
    </row>
    <row r="207" ht="10.5">
      <c r="A207" s="85" t="s">
        <v>113</v>
      </c>
    </row>
    <row r="208" spans="5:10" ht="9.75">
      <c r="E208" s="34" t="s">
        <v>48</v>
      </c>
      <c r="F208" s="129">
        <f>F$12+F$41+F$75+F$104+F$140</f>
        <v>11.145038167938932</v>
      </c>
      <c r="G208" s="129">
        <f>G$12+G$41+G$75+G$104+G$140</f>
        <v>11.145038167938932</v>
      </c>
      <c r="H208" s="129">
        <f>H$12+H$41+H$75+H$104+H$140</f>
        <v>11.145038167938932</v>
      </c>
      <c r="I208" s="129">
        <f>I$12+I$41+I$75+I$104+I$140</f>
        <v>11.145038167938932</v>
      </c>
      <c r="J208" s="129">
        <f>J$12+J$41+J$75+J$104+J$140</f>
        <v>11.145038167938932</v>
      </c>
    </row>
    <row r="209" spans="5:10" ht="9.75">
      <c r="E209" s="34" t="s">
        <v>49</v>
      </c>
      <c r="F209" s="129">
        <f>F$15+F$44+F$78+F$107+F$143</f>
        <v>0</v>
      </c>
      <c r="G209" s="129">
        <f>G$15+G$44+G$78+G$107+G$143</f>
        <v>0</v>
      </c>
      <c r="H209" s="129">
        <f>H$15+H$44+H$78+H$107+H$143</f>
        <v>0</v>
      </c>
      <c r="I209" s="129">
        <f>I$15+I$44+I$78+I$107+I$143</f>
        <v>0</v>
      </c>
      <c r="J209" s="129">
        <f>J$15+J$44+J$78+J$107+J$143</f>
        <v>0</v>
      </c>
    </row>
    <row r="210" spans="5:10" ht="9.75">
      <c r="E210" s="34" t="s">
        <v>50</v>
      </c>
      <c r="F210" s="129">
        <f>F$18+F$47+F$81+F$110+F$146</f>
        <v>11.145038167938932</v>
      </c>
      <c r="G210" s="129">
        <f>G$18+G$47+G$81+G$110+G$146</f>
        <v>11.145038167938932</v>
      </c>
      <c r="H210" s="129">
        <f>H$18+H$47+H$81+H$110+H$146</f>
        <v>11.145038167938932</v>
      </c>
      <c r="I210" s="129">
        <f>I$18+I$47+I$81+I$110+I$146</f>
        <v>11.145038167938932</v>
      </c>
      <c r="J210" s="129">
        <f>J$18+J$47+J$81+J$110+J$146</f>
        <v>11.145038167938932</v>
      </c>
    </row>
    <row r="211" spans="5:10" ht="9.75">
      <c r="E211" s="34" t="s">
        <v>51</v>
      </c>
      <c r="F211" s="129">
        <f>F$21+F$50+F$84+F$113+F$149</f>
        <v>1.0030534351145037</v>
      </c>
      <c r="G211" s="129">
        <f>G$21+G$50+G$84+G$113+G$149</f>
        <v>1.0030534351145037</v>
      </c>
      <c r="H211" s="129">
        <f>H$21+H$50+H$84+H$113+H$149</f>
        <v>1.0030534351145037</v>
      </c>
      <c r="I211" s="129">
        <f>I$21+I$50+I$84+I$113+I$149</f>
        <v>1.0030534351145037</v>
      </c>
      <c r="J211" s="129">
        <f>J$21+J$50+J$84+J$113+J$149</f>
        <v>1.0030534351145037</v>
      </c>
    </row>
    <row r="212" spans="5:10" ht="9.75">
      <c r="E212" s="34" t="s">
        <v>52</v>
      </c>
      <c r="F212" s="129">
        <f>F$24+F$53+F$87+F$116+F$152</f>
        <v>0</v>
      </c>
      <c r="G212" s="129">
        <f>G$24+G$53+G$87+G$116+G$152</f>
        <v>0</v>
      </c>
      <c r="H212" s="129">
        <f>H$24+H$53+H$87+H$116+H$152</f>
        <v>0</v>
      </c>
      <c r="I212" s="129">
        <f>I$24+I$53+I$87+I$116+I$152</f>
        <v>0</v>
      </c>
      <c r="J212" s="129">
        <f>J$24+J$53+J$87+J$116+J$152</f>
        <v>0</v>
      </c>
    </row>
    <row r="213" spans="5:10" ht="9.75">
      <c r="E213" s="34" t="s">
        <v>53</v>
      </c>
      <c r="F213" s="129">
        <f>F$27+F$90</f>
        <v>3.3435114503816794</v>
      </c>
      <c r="G213" s="129">
        <f>G$27+G$90</f>
        <v>3.3435114503816794</v>
      </c>
      <c r="H213" s="129">
        <f>H$27+H$90</f>
        <v>3.3435114503816794</v>
      </c>
      <c r="I213" s="129">
        <f>I$27+I$90</f>
        <v>3.3435114503816794</v>
      </c>
      <c r="J213" s="129">
        <f>J$27+J$90</f>
        <v>3.3435114503816794</v>
      </c>
    </row>
    <row r="214" spans="5:10" ht="9.75">
      <c r="E214" s="34" t="s">
        <v>327</v>
      </c>
      <c r="F214" s="129">
        <f>F$30+F$56+F$93+F$119+F$155+F$158</f>
        <v>1.371118320610687</v>
      </c>
      <c r="G214" s="129">
        <f>G$30+G$56+G$93+G$119+G$155+G$158</f>
        <v>1.371118320610687</v>
      </c>
      <c r="H214" s="129">
        <f>H$30+H$56+H$93+H$119+H$155+H$158</f>
        <v>1.371118320610687</v>
      </c>
      <c r="I214" s="129">
        <f>I$30+I$56+I$93+I$119+I$155+I$158</f>
        <v>1.371118320610687</v>
      </c>
      <c r="J214" s="129">
        <f>J$30+J$56+J$93+J$119+J$155+J$158</f>
        <v>1.371118320610687</v>
      </c>
    </row>
    <row r="215" spans="5:10" ht="9.75">
      <c r="E215" s="34" t="s">
        <v>47</v>
      </c>
      <c r="F215" s="129">
        <f>F$9+F$38+F$72+F$101+F$137</f>
        <v>2.0061068702290075</v>
      </c>
      <c r="G215" s="129">
        <f>G$9+G$38+G$72+G$101+G$137</f>
        <v>2.0061068702290075</v>
      </c>
      <c r="H215" s="129">
        <f>H$9+H$38+H$72+H$101+H$137</f>
        <v>2.0061068702290075</v>
      </c>
      <c r="I215" s="129">
        <f>I$9+I$38+I$72+I$101+I$137</f>
        <v>2.0061068702290075</v>
      </c>
      <c r="J215" s="129">
        <f>J$9+J$38+J$72+J$101+J$137</f>
        <v>2.0061068702290075</v>
      </c>
    </row>
    <row r="216" spans="5:10" ht="9.75">
      <c r="E216" s="34" t="s">
        <v>54</v>
      </c>
      <c r="F216" s="129">
        <f>F$59+F$122</f>
        <v>0</v>
      </c>
      <c r="G216" s="129">
        <f>G$59+G$122</f>
        <v>0</v>
      </c>
      <c r="H216" s="129">
        <f>H$59+H$122</f>
        <v>0</v>
      </c>
      <c r="I216" s="129">
        <f>I$59+I$122</f>
        <v>0</v>
      </c>
      <c r="J216" s="129">
        <f>J$59+J$122</f>
        <v>0</v>
      </c>
    </row>
    <row r="217" spans="5:11" ht="10.5" thickBot="1">
      <c r="E217" s="85" t="s">
        <v>0</v>
      </c>
      <c r="F217" s="130">
        <f>SUM(F208:F216)</f>
        <v>30.01386641221374</v>
      </c>
      <c r="G217" s="130">
        <f>SUM(G208:G216)</f>
        <v>30.01386641221374</v>
      </c>
      <c r="H217" s="130">
        <f>SUM(H208:H216)</f>
        <v>30.01386641221374</v>
      </c>
      <c r="I217" s="130">
        <f>SUM(I208:I216)</f>
        <v>30.01386641221374</v>
      </c>
      <c r="J217" s="130">
        <f>SUM(J208:J216)</f>
        <v>30.01386641221374</v>
      </c>
      <c r="K217" s="40"/>
    </row>
    <row r="218" spans="6:11" ht="9.75">
      <c r="F218" s="129"/>
      <c r="G218" s="129"/>
      <c r="H218" s="129"/>
      <c r="I218" s="129"/>
      <c r="J218" s="129"/>
      <c r="K218" s="40"/>
    </row>
    <row r="219" spans="1:11" ht="10.5">
      <c r="A219" s="85" t="s">
        <v>114</v>
      </c>
      <c r="K219" s="198" t="s">
        <v>0</v>
      </c>
    </row>
    <row r="220" spans="1:11" ht="9.75">
      <c r="A220" s="34" t="s">
        <v>312</v>
      </c>
      <c r="E220" s="34" t="s">
        <v>48</v>
      </c>
      <c r="F220" s="40">
        <f>F$11+F$40+F$74+F$103+F$139</f>
        <v>866762.9923664122</v>
      </c>
      <c r="G220" s="40">
        <f>G$11+G$40+G$74+G$103+G$139</f>
        <v>892765.8821374046</v>
      </c>
      <c r="H220" s="40">
        <f>H$11+H$40+H$74+H$103+H$139</f>
        <v>918768.7719083971</v>
      </c>
      <c r="I220" s="40">
        <f>I$11+I$40+I$74+I$103+I$139</f>
        <v>944771.6616793894</v>
      </c>
      <c r="J220" s="40">
        <f>J$11+J$40+J$74+J$103+J$139</f>
        <v>970774.5514503818</v>
      </c>
      <c r="K220" s="199">
        <f>SUM(F220:J220)</f>
        <v>4593843.859541985</v>
      </c>
    </row>
    <row r="221" spans="5:11" ht="9.75">
      <c r="E221" s="34" t="s">
        <v>49</v>
      </c>
      <c r="F221" s="40">
        <f>F$14+F$43+F$77+F$106+F$142</f>
        <v>0</v>
      </c>
      <c r="G221" s="40">
        <f>G$14+G$43+G$77+G$106+G$142</f>
        <v>0</v>
      </c>
      <c r="H221" s="40">
        <f>H$14+H$43+H$77+H$106+H$142</f>
        <v>0</v>
      </c>
      <c r="I221" s="40">
        <f>I$14+I$43+I$77+I$106+I$142</f>
        <v>0</v>
      </c>
      <c r="J221" s="40">
        <f>J$14+J$43+J$77+J$106+J$142</f>
        <v>0</v>
      </c>
      <c r="K221" s="200">
        <f aca="true" t="shared" si="0" ref="K221:K228">SUM(F221:J221)</f>
        <v>0</v>
      </c>
    </row>
    <row r="222" spans="5:11" ht="9.75">
      <c r="E222" s="34" t="s">
        <v>50</v>
      </c>
      <c r="F222" s="40">
        <f>F$17+F$46+F$80+F$109+F$145</f>
        <v>325007.14503816795</v>
      </c>
      <c r="G222" s="40">
        <f>G$17+G$46+G$80+G$109+G$145</f>
        <v>334757.35938931303</v>
      </c>
      <c r="H222" s="40">
        <f>H$17+H$46+H$80+H$109+H$145</f>
        <v>344507.573740458</v>
      </c>
      <c r="I222" s="40">
        <f>I$17+I$46+I$80+I$109+I$145</f>
        <v>354257.7880916031</v>
      </c>
      <c r="J222" s="40">
        <f>J$17+J$46+J$80+J$109+J$145</f>
        <v>364008.00244274817</v>
      </c>
      <c r="K222" s="200">
        <f t="shared" si="0"/>
        <v>1722537.86870229</v>
      </c>
    </row>
    <row r="223" spans="5:11" ht="9.75">
      <c r="E223" s="34" t="s">
        <v>51</v>
      </c>
      <c r="F223" s="40">
        <f>F$20+F$49+F$83+F$112+F$148</f>
        <v>70935.9389312977</v>
      </c>
      <c r="G223" s="40">
        <f>G$20+G$49+G$83+G$112+G$148</f>
        <v>73064.01709923663</v>
      </c>
      <c r="H223" s="40">
        <f>H$20+H$49+H$83+H$112+H$148</f>
        <v>75192.09526717557</v>
      </c>
      <c r="I223" s="40">
        <f>I$20+I$49+I$83+I$112+I$148</f>
        <v>77320.1734351145</v>
      </c>
      <c r="J223" s="40">
        <f>J$20+J$49+J$83+J$112+J$148</f>
        <v>79448.25160305343</v>
      </c>
      <c r="K223" s="200">
        <f t="shared" si="0"/>
        <v>375960.47633587784</v>
      </c>
    </row>
    <row r="224" spans="5:11" ht="9.75">
      <c r="E224" s="34" t="s">
        <v>52</v>
      </c>
      <c r="F224" s="40">
        <f>F$23+F$52+F$86+F$115+F$151</f>
        <v>0</v>
      </c>
      <c r="G224" s="40">
        <f>G$23+G$52+G$86+G$115+G$151</f>
        <v>0</v>
      </c>
      <c r="H224" s="40">
        <f>H$23+H$52+H$86+H$115+H$151</f>
        <v>0</v>
      </c>
      <c r="I224" s="40">
        <f>I$23+I$52+I$86+I$115+I$151</f>
        <v>0</v>
      </c>
      <c r="J224" s="40">
        <f>J$23+J$52+J$86+J$115+J$151</f>
        <v>0</v>
      </c>
      <c r="K224" s="200">
        <f t="shared" si="0"/>
        <v>0</v>
      </c>
    </row>
    <row r="225" spans="5:11" ht="9.75">
      <c r="E225" s="34" t="s">
        <v>53</v>
      </c>
      <c r="F225" s="40">
        <f>F$26+F$89</f>
        <v>90408.54961832061</v>
      </c>
      <c r="G225" s="40">
        <f>G$26+G$89</f>
        <v>93120.80610687024</v>
      </c>
      <c r="H225" s="40">
        <f>H$26+H$89</f>
        <v>95833.06259541985</v>
      </c>
      <c r="I225" s="40">
        <f>I$26+I$89</f>
        <v>98545.31908396947</v>
      </c>
      <c r="J225" s="40">
        <f>J$26+J$89</f>
        <v>101257.5755725191</v>
      </c>
      <c r="K225" s="200">
        <f t="shared" si="0"/>
        <v>479165.3129770992</v>
      </c>
    </row>
    <row r="226" spans="5:11" ht="9.75">
      <c r="E226" s="34" t="s">
        <v>327</v>
      </c>
      <c r="F226" s="40">
        <f>F$29+F$55+F$92+F$118+F$154+F$157</f>
        <v>15311.499236641223</v>
      </c>
      <c r="G226" s="40">
        <f>G$29+G$55+G$92+G$118+G$154+G$157</f>
        <v>15770.84421374046</v>
      </c>
      <c r="H226" s="40">
        <f>H$29+H$55+H$92+H$118+H$154+H$157</f>
        <v>16230.189190839697</v>
      </c>
      <c r="I226" s="40">
        <f>I$29+I$55+I$92+I$118+I$154+I$157</f>
        <v>16689.534167938935</v>
      </c>
      <c r="J226" s="40">
        <f>J$29+J$55+J$92+J$118+J$154+J$157</f>
        <v>17148.879145038172</v>
      </c>
      <c r="K226" s="200">
        <f t="shared" si="0"/>
        <v>81150.94595419848</v>
      </c>
    </row>
    <row r="227" spans="5:11" ht="9.75">
      <c r="E227" s="34" t="s">
        <v>47</v>
      </c>
      <c r="F227" s="40">
        <f>F$8+F$37+F$71+F$100+F$136</f>
        <v>104108.92213740457</v>
      </c>
      <c r="G227" s="40">
        <f>G$8+G$37+G$71+G$100+G$136</f>
        <v>107232.1898015267</v>
      </c>
      <c r="H227" s="40">
        <f>H$8+H$37+H$71+H$100+H$136</f>
        <v>110355.45746564885</v>
      </c>
      <c r="I227" s="40">
        <f>I$8+I$37+I$71+I$100+I$136</f>
        <v>113478.72512977099</v>
      </c>
      <c r="J227" s="40">
        <f>J$8+J$37+J$71+J$100+J$136</f>
        <v>116601.99279389314</v>
      </c>
      <c r="K227" s="200">
        <f t="shared" si="0"/>
        <v>551777.2873282443</v>
      </c>
    </row>
    <row r="228" spans="5:11" ht="9.75">
      <c r="E228" s="34" t="s">
        <v>54</v>
      </c>
      <c r="F228" s="40">
        <f>F$58+F$121</f>
        <v>0</v>
      </c>
      <c r="G228" s="40">
        <f>G$58+G$121</f>
        <v>0</v>
      </c>
      <c r="H228" s="40">
        <f>H$58+H$121</f>
        <v>0</v>
      </c>
      <c r="I228" s="40">
        <f>I$58+I$121</f>
        <v>0</v>
      </c>
      <c r="J228" s="40">
        <f>J$58+J$121</f>
        <v>0</v>
      </c>
      <c r="K228" s="201">
        <f t="shared" si="0"/>
        <v>0</v>
      </c>
    </row>
    <row r="229" spans="5:11" ht="10.5" thickBot="1">
      <c r="E229" s="131" t="s">
        <v>0</v>
      </c>
      <c r="F229" s="132">
        <f aca="true" t="shared" si="1" ref="F229:K229">SUM(F220:F228)</f>
        <v>1472535.0473282442</v>
      </c>
      <c r="G229" s="132">
        <f t="shared" si="1"/>
        <v>1516711.0987480918</v>
      </c>
      <c r="H229" s="132">
        <f t="shared" si="1"/>
        <v>1560887.1501679388</v>
      </c>
      <c r="I229" s="132">
        <f t="shared" si="1"/>
        <v>1605063.2015877867</v>
      </c>
      <c r="J229" s="132">
        <f t="shared" si="1"/>
        <v>1649239.2530076336</v>
      </c>
      <c r="K229" s="132">
        <f t="shared" si="1"/>
        <v>7804435.750839694</v>
      </c>
    </row>
    <row r="230" spans="6:11" ht="9.75">
      <c r="F230" s="129"/>
      <c r="G230" s="129"/>
      <c r="H230" s="129"/>
      <c r="I230" s="129"/>
      <c r="J230" s="129"/>
      <c r="K230" s="40"/>
    </row>
    <row r="231" spans="6:11" ht="9.75">
      <c r="F231" s="129"/>
      <c r="G231" s="129"/>
      <c r="H231" s="129"/>
      <c r="I231" s="129"/>
      <c r="J231" s="129"/>
      <c r="K231" s="40"/>
    </row>
    <row r="232" spans="1:11" ht="10.5">
      <c r="A232" s="85" t="s">
        <v>114</v>
      </c>
      <c r="K232" s="198" t="s">
        <v>0</v>
      </c>
    </row>
    <row r="233" spans="1:11" ht="9.75">
      <c r="A233" s="34" t="s">
        <v>313</v>
      </c>
      <c r="E233" s="34" t="s">
        <v>48</v>
      </c>
      <c r="F233" s="40">
        <f aca="true" t="shared" si="2" ref="F233:J241">F220*(1+Benefits)</f>
        <v>1057450.8506870228</v>
      </c>
      <c r="G233" s="40">
        <f t="shared" si="2"/>
        <v>1089174.3762076336</v>
      </c>
      <c r="H233" s="40">
        <f t="shared" si="2"/>
        <v>1120897.9017282445</v>
      </c>
      <c r="I233" s="40">
        <f t="shared" si="2"/>
        <v>1152621.4272488551</v>
      </c>
      <c r="J233" s="40">
        <f t="shared" si="2"/>
        <v>1184344.9527694657</v>
      </c>
      <c r="K233" s="199">
        <f>SUM(F233:J233)</f>
        <v>5604489.508641222</v>
      </c>
    </row>
    <row r="234" spans="5:11" ht="9.75">
      <c r="E234" s="34" t="s">
        <v>49</v>
      </c>
      <c r="F234" s="40">
        <f t="shared" si="2"/>
        <v>0</v>
      </c>
      <c r="G234" s="40">
        <f t="shared" si="2"/>
        <v>0</v>
      </c>
      <c r="H234" s="40">
        <f t="shared" si="2"/>
        <v>0</v>
      </c>
      <c r="I234" s="40">
        <f t="shared" si="2"/>
        <v>0</v>
      </c>
      <c r="J234" s="40">
        <f t="shared" si="2"/>
        <v>0</v>
      </c>
      <c r="K234" s="200">
        <f aca="true" t="shared" si="3" ref="K234:K241">SUM(F234:J234)</f>
        <v>0</v>
      </c>
    </row>
    <row r="235" spans="5:11" ht="9.75">
      <c r="E235" s="34" t="s">
        <v>50</v>
      </c>
      <c r="F235" s="40">
        <f t="shared" si="2"/>
        <v>396508.7169465649</v>
      </c>
      <c r="G235" s="40">
        <f t="shared" si="2"/>
        <v>408403.9784549619</v>
      </c>
      <c r="H235" s="40">
        <f t="shared" si="2"/>
        <v>420299.23996335873</v>
      </c>
      <c r="I235" s="40">
        <f t="shared" si="2"/>
        <v>432194.50147175574</v>
      </c>
      <c r="J235" s="40">
        <f t="shared" si="2"/>
        <v>444089.76298015274</v>
      </c>
      <c r="K235" s="200">
        <f t="shared" si="3"/>
        <v>2101496.199816794</v>
      </c>
    </row>
    <row r="236" spans="5:11" ht="9.75">
      <c r="E236" s="34" t="s">
        <v>51</v>
      </c>
      <c r="F236" s="40">
        <f t="shared" si="2"/>
        <v>86541.84549618319</v>
      </c>
      <c r="G236" s="40">
        <f t="shared" si="2"/>
        <v>89138.10086106868</v>
      </c>
      <c r="H236" s="40">
        <f t="shared" si="2"/>
        <v>91734.3562259542</v>
      </c>
      <c r="I236" s="40">
        <f t="shared" si="2"/>
        <v>94330.61159083969</v>
      </c>
      <c r="J236" s="40">
        <f t="shared" si="2"/>
        <v>96926.86695572519</v>
      </c>
      <c r="K236" s="200">
        <f t="shared" si="3"/>
        <v>458671.78112977097</v>
      </c>
    </row>
    <row r="237" spans="5:11" ht="9.75">
      <c r="E237" s="34" t="s">
        <v>52</v>
      </c>
      <c r="F237" s="40">
        <f t="shared" si="2"/>
        <v>0</v>
      </c>
      <c r="G237" s="40">
        <f t="shared" si="2"/>
        <v>0</v>
      </c>
      <c r="H237" s="40">
        <f t="shared" si="2"/>
        <v>0</v>
      </c>
      <c r="I237" s="40">
        <f t="shared" si="2"/>
        <v>0</v>
      </c>
      <c r="J237" s="40">
        <f t="shared" si="2"/>
        <v>0</v>
      </c>
      <c r="K237" s="200">
        <f t="shared" si="3"/>
        <v>0</v>
      </c>
    </row>
    <row r="238" spans="5:11" ht="9.75">
      <c r="E238" s="34" t="s">
        <v>53</v>
      </c>
      <c r="F238" s="40">
        <f t="shared" si="2"/>
        <v>110298.43053435115</v>
      </c>
      <c r="G238" s="40">
        <f t="shared" si="2"/>
        <v>113607.38345038169</v>
      </c>
      <c r="H238" s="40">
        <f t="shared" si="2"/>
        <v>116916.33636641222</v>
      </c>
      <c r="I238" s="40">
        <f t="shared" si="2"/>
        <v>120225.28928244275</v>
      </c>
      <c r="J238" s="40">
        <f t="shared" si="2"/>
        <v>123534.2421984733</v>
      </c>
      <c r="K238" s="200">
        <f t="shared" si="3"/>
        <v>584581.6818320611</v>
      </c>
    </row>
    <row r="239" spans="5:11" ht="9.75">
      <c r="E239" s="34" t="s">
        <v>327</v>
      </c>
      <c r="F239" s="40">
        <f t="shared" si="2"/>
        <v>18680.02906870229</v>
      </c>
      <c r="G239" s="40">
        <f t="shared" si="2"/>
        <v>19240.429940763363</v>
      </c>
      <c r="H239" s="40">
        <f t="shared" si="2"/>
        <v>19800.83081282443</v>
      </c>
      <c r="I239" s="40">
        <f t="shared" si="2"/>
        <v>20361.2316848855</v>
      </c>
      <c r="J239" s="40">
        <f t="shared" si="2"/>
        <v>20921.63255694657</v>
      </c>
      <c r="K239" s="200">
        <f t="shared" si="3"/>
        <v>99004.15406412215</v>
      </c>
    </row>
    <row r="240" spans="5:11" ht="9.75">
      <c r="E240" s="34" t="s">
        <v>47</v>
      </c>
      <c r="F240" s="40">
        <f t="shared" si="2"/>
        <v>127012.88500763358</v>
      </c>
      <c r="G240" s="40">
        <f t="shared" si="2"/>
        <v>130823.27155786258</v>
      </c>
      <c r="H240" s="40">
        <f t="shared" si="2"/>
        <v>134633.6581080916</v>
      </c>
      <c r="I240" s="40">
        <f t="shared" si="2"/>
        <v>138444.0446583206</v>
      </c>
      <c r="J240" s="40">
        <f t="shared" si="2"/>
        <v>142254.43120854962</v>
      </c>
      <c r="K240" s="200">
        <f t="shared" si="3"/>
        <v>673168.290540458</v>
      </c>
    </row>
    <row r="241" spans="5:11" ht="9.75">
      <c r="E241" s="34" t="s">
        <v>54</v>
      </c>
      <c r="F241" s="40">
        <f t="shared" si="2"/>
        <v>0</v>
      </c>
      <c r="G241" s="40">
        <f t="shared" si="2"/>
        <v>0</v>
      </c>
      <c r="H241" s="40">
        <f t="shared" si="2"/>
        <v>0</v>
      </c>
      <c r="I241" s="40">
        <f t="shared" si="2"/>
        <v>0</v>
      </c>
      <c r="J241" s="40">
        <f t="shared" si="2"/>
        <v>0</v>
      </c>
      <c r="K241" s="201">
        <f t="shared" si="3"/>
        <v>0</v>
      </c>
    </row>
    <row r="242" spans="5:11" ht="10.5" thickBot="1">
      <c r="E242" s="131" t="s">
        <v>0</v>
      </c>
      <c r="F242" s="132">
        <f aca="true" t="shared" si="4" ref="F242:K242">SUM(F233:F241)</f>
        <v>1796492.757740458</v>
      </c>
      <c r="G242" s="132">
        <f t="shared" si="4"/>
        <v>1850387.5404726719</v>
      </c>
      <c r="H242" s="132">
        <f t="shared" si="4"/>
        <v>1904282.3232048857</v>
      </c>
      <c r="I242" s="132">
        <f t="shared" si="4"/>
        <v>1958177.1059370995</v>
      </c>
      <c r="J242" s="132">
        <f t="shared" si="4"/>
        <v>2012071.8886693132</v>
      </c>
      <c r="K242" s="132">
        <f t="shared" si="4"/>
        <v>9521411.616024429</v>
      </c>
    </row>
    <row r="243" spans="6:11" ht="9.75">
      <c r="F243" s="129"/>
      <c r="G243" s="129"/>
      <c r="H243" s="129"/>
      <c r="I243" s="129"/>
      <c r="J243" s="129"/>
      <c r="K243" s="40"/>
    </row>
    <row r="244" spans="6:11" ht="9.75">
      <c r="F244" s="129"/>
      <c r="G244" s="129"/>
      <c r="H244" s="129"/>
      <c r="I244" s="129"/>
      <c r="J244" s="129"/>
      <c r="K244" s="40"/>
    </row>
    <row r="245" spans="6:11" ht="9.75">
      <c r="F245" s="129"/>
      <c r="G245" s="129"/>
      <c r="H245" s="129"/>
      <c r="I245" s="129"/>
      <c r="J245" s="129"/>
      <c r="K245" s="40"/>
    </row>
    <row r="246" ht="9.75">
      <c r="C246" s="34" t="s">
        <v>63</v>
      </c>
    </row>
    <row r="248" ht="9.75">
      <c r="D248" s="34" t="s">
        <v>308</v>
      </c>
    </row>
    <row r="249" spans="1:17" ht="12">
      <c r="A249" s="42"/>
      <c r="B249" s="42"/>
      <c r="C249" s="42"/>
      <c r="D249" s="34" t="s">
        <v>115</v>
      </c>
      <c r="E249" s="42"/>
      <c r="F249" s="42"/>
      <c r="G249" s="42"/>
      <c r="H249" s="42"/>
      <c r="I249" s="42"/>
      <c r="J249" s="42"/>
      <c r="K249" s="42"/>
      <c r="L249" s="42"/>
      <c r="M249" s="42"/>
      <c r="N249" s="42"/>
      <c r="O249" s="42"/>
      <c r="P249" s="42"/>
      <c r="Q249" s="42"/>
    </row>
    <row r="250" spans="1:17" ht="12">
      <c r="A250" s="42"/>
      <c r="B250" s="42"/>
      <c r="C250" s="42"/>
      <c r="E250" s="42"/>
      <c r="F250" s="42"/>
      <c r="G250" s="42"/>
      <c r="H250" s="42"/>
      <c r="I250" s="42"/>
      <c r="J250" s="42"/>
      <c r="K250" s="42"/>
      <c r="L250" s="42"/>
      <c r="M250" s="42"/>
      <c r="N250" s="42"/>
      <c r="O250" s="42"/>
      <c r="P250" s="42"/>
      <c r="Q250" s="42"/>
    </row>
    <row r="251" spans="1:17" ht="12">
      <c r="A251" s="42"/>
      <c r="B251" s="42"/>
      <c r="C251" s="42"/>
      <c r="D251" s="42"/>
      <c r="E251" s="42"/>
      <c r="F251" s="42"/>
      <c r="G251" s="42"/>
      <c r="H251" s="42"/>
      <c r="I251" s="42"/>
      <c r="J251" s="42"/>
      <c r="K251" s="42"/>
      <c r="L251" s="42"/>
      <c r="M251" s="42"/>
      <c r="N251" s="42"/>
      <c r="O251" s="42"/>
      <c r="P251" s="42"/>
      <c r="Q251" s="42"/>
    </row>
    <row r="252" spans="1:17" ht="12">
      <c r="A252" s="42"/>
      <c r="B252" s="42"/>
      <c r="C252" s="42"/>
      <c r="D252" s="133" t="s">
        <v>263</v>
      </c>
      <c r="E252" s="42"/>
      <c r="F252" s="42"/>
      <c r="G252" s="42"/>
      <c r="H252" s="42"/>
      <c r="I252" s="42"/>
      <c r="J252" s="42"/>
      <c r="K252" s="42"/>
      <c r="L252" s="42"/>
      <c r="M252" s="42"/>
      <c r="N252" s="42"/>
      <c r="O252" s="42"/>
      <c r="P252" s="42"/>
      <c r="Q252" s="42"/>
    </row>
    <row r="253" spans="1:17" ht="12">
      <c r="A253" s="42"/>
      <c r="B253" s="42"/>
      <c r="C253" s="42"/>
      <c r="D253" s="133" t="s">
        <v>268</v>
      </c>
      <c r="E253" s="42"/>
      <c r="F253" s="42"/>
      <c r="G253" s="42"/>
      <c r="H253" s="42"/>
      <c r="I253" s="42"/>
      <c r="J253" s="42"/>
      <c r="K253" s="42"/>
      <c r="L253" s="42"/>
      <c r="M253" s="42"/>
      <c r="N253" s="42"/>
      <c r="O253" s="42"/>
      <c r="P253" s="42"/>
      <c r="Q253" s="42"/>
    </row>
    <row r="254" spans="1:17" ht="12">
      <c r="A254" s="42"/>
      <c r="B254" s="42"/>
      <c r="C254" s="42"/>
      <c r="D254" s="133" t="s">
        <v>264</v>
      </c>
      <c r="E254" s="42"/>
      <c r="F254" s="42"/>
      <c r="G254" s="42"/>
      <c r="H254" s="42"/>
      <c r="I254" s="42"/>
      <c r="J254" s="42"/>
      <c r="K254" s="42"/>
      <c r="L254" s="42"/>
      <c r="M254" s="42"/>
      <c r="N254" s="42"/>
      <c r="O254" s="42"/>
      <c r="P254" s="42"/>
      <c r="Q254" s="42"/>
    </row>
    <row r="255" spans="1:17" ht="12">
      <c r="A255" s="42"/>
      <c r="B255" s="42"/>
      <c r="C255" s="42"/>
      <c r="D255" s="133" t="s">
        <v>265</v>
      </c>
      <c r="E255" s="42"/>
      <c r="F255" s="42"/>
      <c r="G255" s="42"/>
      <c r="H255" s="42"/>
      <c r="I255" s="42"/>
      <c r="J255" s="42"/>
      <c r="K255" s="42"/>
      <c r="L255" s="42"/>
      <c r="M255" s="42"/>
      <c r="N255" s="42"/>
      <c r="O255" s="42"/>
      <c r="P255" s="42"/>
      <c r="Q255" s="42"/>
    </row>
    <row r="256" spans="1:17" ht="12">
      <c r="A256" s="42"/>
      <c r="B256" s="42"/>
      <c r="C256" s="42"/>
      <c r="D256" s="133" t="s">
        <v>266</v>
      </c>
      <c r="E256" s="42"/>
      <c r="F256" s="42"/>
      <c r="G256" s="42"/>
      <c r="H256" s="42"/>
      <c r="I256" s="42"/>
      <c r="J256" s="42"/>
      <c r="K256" s="42"/>
      <c r="L256" s="42"/>
      <c r="M256" s="42"/>
      <c r="N256" s="42"/>
      <c r="O256" s="42"/>
      <c r="P256" s="42"/>
      <c r="Q256" s="42"/>
    </row>
    <row r="257" spans="1:17" ht="12">
      <c r="A257" s="42"/>
      <c r="B257" s="42"/>
      <c r="C257" s="42"/>
      <c r="D257" s="42"/>
      <c r="E257" s="42"/>
      <c r="F257" s="42"/>
      <c r="G257" s="42"/>
      <c r="H257" s="42"/>
      <c r="I257" s="42"/>
      <c r="J257" s="42"/>
      <c r="K257" s="42"/>
      <c r="L257" s="42"/>
      <c r="M257" s="42"/>
      <c r="N257" s="42"/>
      <c r="O257" s="42"/>
      <c r="P257" s="42"/>
      <c r="Q257" s="42"/>
    </row>
    <row r="258" spans="1:17" ht="12.75">
      <c r="A258" s="42"/>
      <c r="B258" s="42"/>
      <c r="C258" s="42"/>
      <c r="D258" s="134" t="s">
        <v>271</v>
      </c>
      <c r="E258" s="42"/>
      <c r="F258" s="42"/>
      <c r="G258" s="42"/>
      <c r="H258" s="42"/>
      <c r="I258" s="42"/>
      <c r="J258" s="42"/>
      <c r="K258" s="42"/>
      <c r="L258" s="42"/>
      <c r="M258" s="42"/>
      <c r="N258" s="42"/>
      <c r="O258" s="42"/>
      <c r="P258" s="42"/>
      <c r="Q258" s="42"/>
    </row>
    <row r="259" spans="1:17" ht="12">
      <c r="A259" s="42"/>
      <c r="B259" s="42"/>
      <c r="C259" s="42"/>
      <c r="D259" s="42"/>
      <c r="E259" s="42"/>
      <c r="F259" s="42"/>
      <c r="G259" s="42"/>
      <c r="H259" s="42"/>
      <c r="I259" s="42"/>
      <c r="J259" s="42"/>
      <c r="K259" s="42"/>
      <c r="L259" s="42"/>
      <c r="M259" s="42"/>
      <c r="N259" s="42"/>
      <c r="O259" s="42"/>
      <c r="P259" s="42"/>
      <c r="Q259" s="42"/>
    </row>
    <row r="260" spans="1:17" ht="12.75">
      <c r="A260" s="42"/>
      <c r="B260" s="42"/>
      <c r="C260" s="42"/>
      <c r="D260" s="41" t="s">
        <v>267</v>
      </c>
      <c r="E260" s="42"/>
      <c r="F260" s="42"/>
      <c r="H260" s="42"/>
      <c r="I260" s="42"/>
      <c r="J260" s="135">
        <f>Utilization!$E$6</f>
        <v>12</v>
      </c>
      <c r="K260" s="42"/>
      <c r="L260" s="42"/>
      <c r="M260" s="42"/>
      <c r="N260" s="42"/>
      <c r="O260" s="42"/>
      <c r="P260" s="42"/>
      <c r="Q260" s="42"/>
    </row>
    <row r="261" spans="1:17" s="136" customFormat="1" ht="12.75">
      <c r="A261" s="42"/>
      <c r="B261" s="42"/>
      <c r="C261" s="42"/>
      <c r="D261" s="41" t="s">
        <v>270</v>
      </c>
      <c r="E261" s="42"/>
      <c r="F261" s="42"/>
      <c r="G261" s="42"/>
      <c r="I261" s="42"/>
      <c r="J261" s="137">
        <v>6</v>
      </c>
      <c r="K261" s="42"/>
      <c r="L261" s="42"/>
      <c r="M261" s="42"/>
      <c r="N261" s="42"/>
      <c r="O261" s="42"/>
      <c r="P261" s="42"/>
      <c r="Q261" s="42"/>
    </row>
    <row r="262" spans="1:17" s="136" customFormat="1" ht="12.75">
      <c r="A262" s="42"/>
      <c r="B262" s="42"/>
      <c r="C262" s="42"/>
      <c r="D262" s="41"/>
      <c r="E262" s="42"/>
      <c r="F262" s="42"/>
      <c r="G262" s="42"/>
      <c r="H262" s="42"/>
      <c r="I262" s="42"/>
      <c r="J262" s="42"/>
      <c r="K262" s="42"/>
      <c r="L262" s="42"/>
      <c r="M262" s="42"/>
      <c r="N262" s="42"/>
      <c r="O262" s="42"/>
      <c r="P262" s="42"/>
      <c r="Q262" s="42"/>
    </row>
    <row r="263" spans="1:17" s="136" customFormat="1" ht="12.75">
      <c r="A263" s="42"/>
      <c r="B263" s="42"/>
      <c r="C263" s="42"/>
      <c r="D263" s="41" t="s">
        <v>269</v>
      </c>
      <c r="E263" s="42"/>
      <c r="F263" s="42"/>
      <c r="G263" s="42"/>
      <c r="H263" s="42"/>
      <c r="I263" s="42"/>
      <c r="J263" s="138">
        <f>(J260/J261)*'FTE Computations'!$E$25</f>
        <v>11.145038167938932</v>
      </c>
      <c r="L263" s="42"/>
      <c r="M263" s="42"/>
      <c r="N263" s="42"/>
      <c r="O263" s="42"/>
      <c r="P263" s="42"/>
      <c r="Q263" s="42"/>
    </row>
    <row r="264" spans="1:17" s="136" customFormat="1" ht="12">
      <c r="A264" s="42"/>
      <c r="B264" s="42"/>
      <c r="C264" s="93" t="s">
        <v>274</v>
      </c>
      <c r="E264" s="42"/>
      <c r="F264" s="42"/>
      <c r="G264" s="42"/>
      <c r="H264" s="42"/>
      <c r="I264" s="42"/>
      <c r="J264" s="138"/>
      <c r="L264" s="42"/>
      <c r="M264" s="42"/>
      <c r="N264" s="42"/>
      <c r="O264" s="42"/>
      <c r="P264" s="42"/>
      <c r="Q264" s="42"/>
    </row>
    <row r="265" spans="1:17" s="136" customFormat="1" ht="12">
      <c r="A265" s="42"/>
      <c r="B265" s="42"/>
      <c r="C265" s="42"/>
      <c r="D265" s="42"/>
      <c r="E265" s="42"/>
      <c r="F265" s="42"/>
      <c r="G265" s="42"/>
      <c r="H265" s="42"/>
      <c r="I265" s="42"/>
      <c r="J265" s="42"/>
      <c r="K265" s="42"/>
      <c r="L265" s="42"/>
      <c r="M265" s="42"/>
      <c r="N265" s="42"/>
      <c r="O265" s="42"/>
      <c r="P265" s="42"/>
      <c r="Q265" s="42"/>
    </row>
    <row r="266" spans="1:17" s="136" customFormat="1" ht="12">
      <c r="A266" s="42"/>
      <c r="B266" s="42"/>
      <c r="C266" s="42"/>
      <c r="D266" s="42" t="s">
        <v>272</v>
      </c>
      <c r="E266" s="42"/>
      <c r="F266" s="42"/>
      <c r="G266" s="42"/>
      <c r="H266" s="42"/>
      <c r="I266" s="42"/>
      <c r="J266" s="42"/>
      <c r="K266" s="42"/>
      <c r="L266" s="42"/>
      <c r="M266" s="42"/>
      <c r="N266" s="42"/>
      <c r="O266" s="42"/>
      <c r="P266" s="42"/>
      <c r="Q266" s="42"/>
    </row>
    <row r="267" spans="1:17" ht="12">
      <c r="A267" s="42"/>
      <c r="B267" s="42"/>
      <c r="C267" s="42"/>
      <c r="D267" s="42" t="s">
        <v>273</v>
      </c>
      <c r="E267" s="42"/>
      <c r="F267" s="42"/>
      <c r="G267" s="42"/>
      <c r="H267" s="42"/>
      <c r="I267" s="42"/>
      <c r="J267" s="42"/>
      <c r="K267" s="42"/>
      <c r="L267" s="42"/>
      <c r="M267" s="42"/>
      <c r="N267" s="42"/>
      <c r="O267" s="42"/>
      <c r="P267" s="42"/>
      <c r="Q267" s="42"/>
    </row>
    <row r="268" spans="1:17" ht="12">
      <c r="A268" s="42"/>
      <c r="B268" s="42"/>
      <c r="C268" s="42"/>
      <c r="D268" s="42"/>
      <c r="E268" s="42"/>
      <c r="F268" s="42"/>
      <c r="G268" s="42"/>
      <c r="H268" s="42"/>
      <c r="I268" s="42"/>
      <c r="J268" s="42"/>
      <c r="K268" s="42"/>
      <c r="L268" s="42"/>
      <c r="M268" s="42"/>
      <c r="N268" s="42"/>
      <c r="O268" s="42"/>
      <c r="P268" s="42"/>
      <c r="Q268" s="42"/>
    </row>
    <row r="269" spans="1:17" ht="12">
      <c r="A269" s="42"/>
      <c r="B269" s="42"/>
      <c r="C269" s="42"/>
      <c r="D269" s="42"/>
      <c r="E269" s="42"/>
      <c r="F269" s="42"/>
      <c r="G269" s="42"/>
      <c r="H269" s="42"/>
      <c r="I269" s="42"/>
      <c r="J269" s="42"/>
      <c r="K269" s="42"/>
      <c r="L269" s="42"/>
      <c r="M269" s="42"/>
      <c r="N269" s="42"/>
      <c r="O269" s="42"/>
      <c r="P269" s="42"/>
      <c r="Q269" s="42"/>
    </row>
    <row r="270" spans="1:17" ht="12">
      <c r="A270" s="42"/>
      <c r="B270" s="42"/>
      <c r="C270" s="42"/>
      <c r="D270" s="42"/>
      <c r="E270" s="42"/>
      <c r="F270" s="42"/>
      <c r="G270" s="42"/>
      <c r="H270" s="42"/>
      <c r="I270" s="42"/>
      <c r="J270" s="42"/>
      <c r="K270" s="42"/>
      <c r="L270" s="42"/>
      <c r="M270" s="42"/>
      <c r="N270" s="42"/>
      <c r="O270" s="42"/>
      <c r="P270" s="42"/>
      <c r="Q270" s="42"/>
    </row>
    <row r="271" spans="1:17" ht="12">
      <c r="A271" s="42"/>
      <c r="B271" s="42"/>
      <c r="C271" s="42"/>
      <c r="D271" s="42"/>
      <c r="E271" s="42"/>
      <c r="F271" s="42"/>
      <c r="G271" s="42"/>
      <c r="H271" s="42"/>
      <c r="I271" s="42"/>
      <c r="J271" s="42"/>
      <c r="K271" s="42"/>
      <c r="L271" s="42"/>
      <c r="M271" s="42"/>
      <c r="N271" s="42"/>
      <c r="O271" s="42"/>
      <c r="P271" s="42"/>
      <c r="Q271" s="42"/>
    </row>
  </sheetData>
  <sheetProtection password="DFAD" sheet="1" objects="1" scenarios="1"/>
  <mergeCells count="1">
    <mergeCell ref="L8:M8"/>
  </mergeCells>
  <printOptions/>
  <pageMargins left="0" right="0" top="1" bottom="1" header="0.5" footer="0.5"/>
  <pageSetup horizontalDpi="300" verticalDpi="300" orientation="portrait" scale="85" r:id="rId2"/>
  <headerFooter alignWithMargins="0">
    <oddFooter>&amp;L&amp;f  &amp;A</oddFooter>
  </headerFooter>
  <drawing r:id="rId1"/>
</worksheet>
</file>

<file path=xl/worksheets/sheet12.xml><?xml version="1.0" encoding="utf-8"?>
<worksheet xmlns="http://schemas.openxmlformats.org/spreadsheetml/2006/main" xmlns:r="http://schemas.openxmlformats.org/officeDocument/2006/relationships">
  <sheetPr>
    <tabColor indexed="18"/>
  </sheetPr>
  <dimension ref="A1:Q67"/>
  <sheetViews>
    <sheetView showGridLines="0" zoomScalePageLayoutView="0" workbookViewId="0" topLeftCell="A1">
      <selection activeCell="P13" sqref="P13"/>
    </sheetView>
  </sheetViews>
  <sheetFormatPr defaultColWidth="9.140625" defaultRowHeight="12.75"/>
  <cols>
    <col min="1" max="2" width="2.421875" style="34" customWidth="1"/>
    <col min="3" max="3" width="2.7109375" style="34" customWidth="1"/>
    <col min="4" max="4" width="3.00390625" style="34" customWidth="1"/>
    <col min="5" max="5" width="2.8515625" style="34" customWidth="1"/>
    <col min="6" max="8" width="8.28125" style="34" customWidth="1"/>
    <col min="9" max="9" width="8.00390625" style="34" customWidth="1"/>
    <col min="10" max="10" width="7.8515625" style="34" customWidth="1"/>
    <col min="11" max="11" width="7.57421875" style="34" customWidth="1"/>
    <col min="12" max="12" width="9.57421875" style="34" customWidth="1"/>
    <col min="13" max="13" width="9.140625" style="34" customWidth="1"/>
    <col min="14" max="14" width="2.00390625" style="34" customWidth="1"/>
    <col min="15" max="15" width="10.28125" style="34" customWidth="1"/>
    <col min="16" max="16384" width="9.140625" style="34" customWidth="1"/>
  </cols>
  <sheetData>
    <row r="1" spans="1:17" ht="12">
      <c r="A1" s="85" t="s">
        <v>64</v>
      </c>
      <c r="O1" s="43" t="s">
        <v>160</v>
      </c>
      <c r="P1" s="44" t="str">
        <f>Name</f>
        <v>Sunny Day Hospice</v>
      </c>
      <c r="Q1" s="45"/>
    </row>
    <row r="2" spans="1:17" ht="12">
      <c r="A2" s="85"/>
      <c r="O2" s="43" t="s">
        <v>161</v>
      </c>
      <c r="P2" s="44" t="str">
        <f>CON.Number</f>
        <v>XX-XXX</v>
      </c>
      <c r="Q2" s="45"/>
    </row>
    <row r="3" spans="1:17" ht="10.5">
      <c r="A3" s="85"/>
      <c r="B3" s="34" t="s">
        <v>111</v>
      </c>
      <c r="H3" s="104">
        <v>0</v>
      </c>
      <c r="I3" s="104">
        <v>0.03</v>
      </c>
      <c r="J3" s="104">
        <v>0.06</v>
      </c>
      <c r="K3" s="104">
        <v>0.09</v>
      </c>
      <c r="L3" s="104">
        <v>0.12</v>
      </c>
      <c r="O3" s="43" t="s">
        <v>162</v>
      </c>
      <c r="P3" s="46" t="s">
        <v>164</v>
      </c>
      <c r="Q3" s="47" t="str">
        <f>state</f>
        <v>GA</v>
      </c>
    </row>
    <row r="4" spans="1:17" ht="10.5">
      <c r="A4" s="85"/>
      <c r="B4" s="86"/>
      <c r="C4" s="86"/>
      <c r="D4" s="86"/>
      <c r="E4" s="86"/>
      <c r="F4" s="86"/>
      <c r="G4" s="86"/>
      <c r="H4" s="139" t="str">
        <f>'Pro Forma IS'!G$2</f>
        <v>Year 1</v>
      </c>
      <c r="I4" s="139" t="str">
        <f>'Pro Forma IS'!H$2</f>
        <v>Year 2</v>
      </c>
      <c r="J4" s="139" t="str">
        <f>'Pro Forma IS'!I$2</f>
        <v>Year 3</v>
      </c>
      <c r="K4" s="139" t="str">
        <f>'Pro Forma IS'!J$2</f>
        <v>Year 4</v>
      </c>
      <c r="L4" s="139" t="str">
        <f>'Pro Forma IS'!K$2</f>
        <v>Year 5</v>
      </c>
      <c r="M4" s="35" t="s">
        <v>0</v>
      </c>
      <c r="O4" s="43" t="s">
        <v>163</v>
      </c>
      <c r="P4" s="48">
        <v>1</v>
      </c>
      <c r="Q4" s="49" t="str">
        <f>Submission.Date</f>
        <v>3/30/17</v>
      </c>
    </row>
    <row r="5" spans="1:2" ht="10.5">
      <c r="A5" s="85"/>
      <c r="B5" s="85" t="s">
        <v>1</v>
      </c>
    </row>
    <row r="6" spans="1:13" ht="10.5">
      <c r="A6" s="85"/>
      <c r="B6" s="34" t="s">
        <v>279</v>
      </c>
      <c r="H6" s="140">
        <f>'Pro Forma IS'!G$4</f>
        <v>8</v>
      </c>
      <c r="I6" s="140">
        <f>'Pro Forma IS'!H$4</f>
        <v>8</v>
      </c>
      <c r="J6" s="140">
        <f>'Pro Forma IS'!I$4</f>
        <v>8</v>
      </c>
      <c r="K6" s="140">
        <f>'Pro Forma IS'!J$4</f>
        <v>8</v>
      </c>
      <c r="L6" s="140">
        <f>'Pro Forma IS'!K$4</f>
        <v>8</v>
      </c>
      <c r="M6" s="106"/>
    </row>
    <row r="7" spans="1:13" ht="10.5">
      <c r="A7" s="85"/>
      <c r="B7" s="34" t="s">
        <v>280</v>
      </c>
      <c r="H7" s="140">
        <f>'Pro Forma IS'!G$5</f>
        <v>1</v>
      </c>
      <c r="I7" s="140">
        <f>'Pro Forma IS'!H$5</f>
        <v>1</v>
      </c>
      <c r="J7" s="140">
        <f>'Pro Forma IS'!I$5</f>
        <v>1</v>
      </c>
      <c r="K7" s="140">
        <f>'Pro Forma IS'!J$5</f>
        <v>1</v>
      </c>
      <c r="L7" s="140">
        <f>'Pro Forma IS'!K$5</f>
        <v>1</v>
      </c>
      <c r="M7" s="106"/>
    </row>
    <row r="8" spans="1:13" ht="10.5">
      <c r="A8" s="85"/>
      <c r="B8" s="34" t="s">
        <v>281</v>
      </c>
      <c r="H8" s="140">
        <f>'Pro Forma IS'!G6</f>
        <v>2</v>
      </c>
      <c r="I8" s="140">
        <f>'Pro Forma IS'!H6</f>
        <v>2</v>
      </c>
      <c r="J8" s="140">
        <f>'Pro Forma IS'!I6</f>
        <v>2</v>
      </c>
      <c r="K8" s="140">
        <f>'Pro Forma IS'!J6</f>
        <v>2</v>
      </c>
      <c r="L8" s="140">
        <f>'Pro Forma IS'!K6</f>
        <v>2</v>
      </c>
      <c r="M8" s="106"/>
    </row>
    <row r="9" spans="1:13" ht="10.5">
      <c r="A9" s="85"/>
      <c r="B9" s="34" t="s">
        <v>282</v>
      </c>
      <c r="H9" s="29">
        <f>'Pro Forma IS'!G$7</f>
        <v>2920</v>
      </c>
      <c r="I9" s="29">
        <f>'Pro Forma IS'!H$7</f>
        <v>2920</v>
      </c>
      <c r="J9" s="29">
        <f>'Pro Forma IS'!I$7</f>
        <v>2920</v>
      </c>
      <c r="K9" s="29">
        <f>'Pro Forma IS'!J$7</f>
        <v>2920</v>
      </c>
      <c r="L9" s="29">
        <f>'Pro Forma IS'!K$7</f>
        <v>2920</v>
      </c>
      <c r="M9" s="106"/>
    </row>
    <row r="10" spans="2:13" ht="9.75">
      <c r="B10" s="34" t="s">
        <v>283</v>
      </c>
      <c r="H10" s="29">
        <f>'Pro Forma IS'!G$8</f>
        <v>365</v>
      </c>
      <c r="I10" s="29">
        <f>'Pro Forma IS'!H$8</f>
        <v>365</v>
      </c>
      <c r="J10" s="29">
        <f>'Pro Forma IS'!I$8</f>
        <v>365</v>
      </c>
      <c r="K10" s="29">
        <f>'Pro Forma IS'!J$8</f>
        <v>365</v>
      </c>
      <c r="L10" s="29">
        <f>'Pro Forma IS'!K$8</f>
        <v>365</v>
      </c>
      <c r="M10" s="106"/>
    </row>
    <row r="11" spans="2:12" ht="9.75">
      <c r="B11" s="34" t="s">
        <v>284</v>
      </c>
      <c r="H11" s="29">
        <f>'Pro Forma IS'!G9</f>
        <v>730</v>
      </c>
      <c r="I11" s="29">
        <f>'Pro Forma IS'!H9</f>
        <v>730</v>
      </c>
      <c r="J11" s="29">
        <f>'Pro Forma IS'!I9</f>
        <v>730</v>
      </c>
      <c r="K11" s="29">
        <f>'Pro Forma IS'!J9</f>
        <v>730</v>
      </c>
      <c r="L11" s="29">
        <f>'Pro Forma IS'!K9</f>
        <v>730</v>
      </c>
    </row>
    <row r="13" ht="10.5">
      <c r="G13" s="86" t="s">
        <v>65</v>
      </c>
    </row>
    <row r="14" spans="2:7" ht="10.5">
      <c r="B14" s="103" t="s">
        <v>66</v>
      </c>
      <c r="G14" s="35" t="s">
        <v>67</v>
      </c>
    </row>
    <row r="15" spans="2:13" ht="9.75">
      <c r="B15" s="34" t="s">
        <v>68</v>
      </c>
      <c r="G15" s="171">
        <v>25</v>
      </c>
      <c r="H15" s="29">
        <f>(H$9*$G$15)*(1+H$3)</f>
        <v>73000</v>
      </c>
      <c r="I15" s="29">
        <f>(I$9*$G$15)*(1+I$3)</f>
        <v>75190</v>
      </c>
      <c r="J15" s="29">
        <f>(J$9*$G$15)*(1+J$3)</f>
        <v>77380</v>
      </c>
      <c r="K15" s="29">
        <f>(K$9*$G$15)*(1+K$3)</f>
        <v>79570</v>
      </c>
      <c r="L15" s="29">
        <f>(L$9*$G$15)*(1+L$3)</f>
        <v>81760.00000000001</v>
      </c>
      <c r="M15" s="29">
        <f>SUM(H15:L15)</f>
        <v>386900</v>
      </c>
    </row>
    <row r="16" spans="2:13" ht="9.75">
      <c r="B16" s="34" t="s">
        <v>69</v>
      </c>
      <c r="G16" s="171">
        <f>2.29+0.52</f>
        <v>2.81</v>
      </c>
      <c r="H16" s="29">
        <f>(H$9*$G$16)*(1+H$3)</f>
        <v>8205.2</v>
      </c>
      <c r="I16" s="29">
        <f>(I$9*$G$16)*(1+I$3)</f>
        <v>8451.356000000002</v>
      </c>
      <c r="J16" s="29">
        <f>(J$9*$G$16)*(1+J$3)</f>
        <v>8697.512</v>
      </c>
      <c r="K16" s="29">
        <f>(K$9*$G$16)*(1+K$3)</f>
        <v>8943.668000000001</v>
      </c>
      <c r="L16" s="29">
        <f>(L$9*$G$16)*(1+L$3)</f>
        <v>9189.824000000002</v>
      </c>
      <c r="M16" s="29">
        <f>SUM(H16:L16)</f>
        <v>43487.560000000005</v>
      </c>
    </row>
    <row r="17" spans="2:13" ht="9.75">
      <c r="B17" s="34" t="s">
        <v>336</v>
      </c>
      <c r="G17" s="171">
        <v>12</v>
      </c>
      <c r="H17" s="29">
        <f>(H$9*$G$17)*(1+H$3)</f>
        <v>35040</v>
      </c>
      <c r="I17" s="29">
        <f>(I$9*$G$17)*(1+I$3)</f>
        <v>36091.200000000004</v>
      </c>
      <c r="J17" s="29">
        <f>(J$9*$G$17)*(1+J$3)</f>
        <v>37142.4</v>
      </c>
      <c r="K17" s="29">
        <f>(K$9*$G$17)*(1+K$3)</f>
        <v>38193.600000000006</v>
      </c>
      <c r="L17" s="29">
        <f>(L$9*$G$17)*(1+L$3)</f>
        <v>39244.8</v>
      </c>
      <c r="M17" s="29">
        <f>SUM(H17:L17)</f>
        <v>185712</v>
      </c>
    </row>
    <row r="18" spans="2:13" ht="9.75">
      <c r="B18" s="34" t="s">
        <v>70</v>
      </c>
      <c r="G18" s="171">
        <v>0.5</v>
      </c>
      <c r="H18" s="29">
        <f>(H$9*$G$18)*(1+H$3)</f>
        <v>1460</v>
      </c>
      <c r="I18" s="29">
        <f>(I$9*$G$18)*(1+I$3)</f>
        <v>1503.8</v>
      </c>
      <c r="J18" s="29">
        <f>(J$9*$G$18)*(1+J$3)</f>
        <v>1547.6000000000001</v>
      </c>
      <c r="K18" s="29">
        <f>(K$9*$G$18)*(1+K$3)</f>
        <v>1591.4</v>
      </c>
      <c r="L18" s="29">
        <f>(L$9*$G$18)*(1+L$3)</f>
        <v>1635.2</v>
      </c>
      <c r="M18" s="29">
        <f>SUM(H18:L18)</f>
        <v>7738.000000000001</v>
      </c>
    </row>
    <row r="19" spans="2:13" ht="9.75">
      <c r="B19" s="34" t="s">
        <v>71</v>
      </c>
      <c r="G19" s="171">
        <v>3.5</v>
      </c>
      <c r="H19" s="29">
        <f>(H$9*$G$19)*(1+H$3)</f>
        <v>10220</v>
      </c>
      <c r="I19" s="29">
        <f>(I$9*$G$19)*(1+I$3)</f>
        <v>10526.6</v>
      </c>
      <c r="J19" s="29">
        <f>(J$9*$G$19)*(1+J$3)</f>
        <v>10833.2</v>
      </c>
      <c r="K19" s="29">
        <f>(K$9*$G$19)*(1+K$3)</f>
        <v>11139.800000000001</v>
      </c>
      <c r="L19" s="29">
        <f>(L$9*$G$19)*(1+L$3)</f>
        <v>11446.400000000001</v>
      </c>
      <c r="M19" s="29">
        <f>SUM(H19:L19)</f>
        <v>54166</v>
      </c>
    </row>
    <row r="20" spans="2:13" ht="9.75">
      <c r="B20" s="34" t="s">
        <v>72</v>
      </c>
      <c r="G20" s="171">
        <v>6.35</v>
      </c>
      <c r="H20" s="29">
        <f>(H$9*$G$20)*(1+H$3)</f>
        <v>18542</v>
      </c>
      <c r="I20" s="29">
        <f>(I$9*$G$20)*(1+I$3)</f>
        <v>19098.260000000002</v>
      </c>
      <c r="J20" s="29">
        <f>(J$9*$G$20)*(1+J$3)</f>
        <v>19654.52</v>
      </c>
      <c r="K20" s="29">
        <f>(K$9*$G$20)*(1+K$3)</f>
        <v>20210.780000000002</v>
      </c>
      <c r="L20" s="29">
        <f>(L$9*$G$20)*(1+L$3)</f>
        <v>20767.04</v>
      </c>
      <c r="M20" s="29">
        <f aca="true" t="shared" si="0" ref="M20:M25">SUM(H20:L20)</f>
        <v>98272.6</v>
      </c>
    </row>
    <row r="21" spans="2:13" ht="9.75">
      <c r="B21" s="34" t="s">
        <v>73</v>
      </c>
      <c r="G21" s="171">
        <v>6.85</v>
      </c>
      <c r="H21" s="29">
        <f>(H$9*$G$21)*(1+H$3)</f>
        <v>20002</v>
      </c>
      <c r="I21" s="29">
        <f>(I$9*$G$21)*(1+I$3)</f>
        <v>20602.06</v>
      </c>
      <c r="J21" s="29">
        <f>(J$9*$G$21)*(1+J$3)</f>
        <v>21202.120000000003</v>
      </c>
      <c r="K21" s="29">
        <f>(K$9*$G$21)*(1+K$3)</f>
        <v>21802.18</v>
      </c>
      <c r="L21" s="29">
        <f>(L$9*$G$21)*(1+L$3)</f>
        <v>22402.24</v>
      </c>
      <c r="M21" s="29">
        <f t="shared" si="0"/>
        <v>106010.6</v>
      </c>
    </row>
    <row r="22" spans="2:13" ht="9.75">
      <c r="B22" s="208" t="s">
        <v>389</v>
      </c>
      <c r="C22" s="208"/>
      <c r="D22" s="208"/>
      <c r="E22" s="208"/>
      <c r="F22" s="208"/>
      <c r="G22" s="171">
        <v>0.889</v>
      </c>
      <c r="H22" s="29">
        <f>(H$9*$G$22)*(1+H$3)</f>
        <v>2595.88</v>
      </c>
      <c r="I22" s="29">
        <f>(I$9*$G$22)*(1+I$3)</f>
        <v>2673.7564</v>
      </c>
      <c r="J22" s="29">
        <f>(J$9*$G$22)*(1+J$3)</f>
        <v>2751.6328000000003</v>
      </c>
      <c r="K22" s="29">
        <f>(K$9*$G$22)*(1+K$3)</f>
        <v>2829.5092000000004</v>
      </c>
      <c r="L22" s="29">
        <f>(L$9*$G$22)*(1+L$3)</f>
        <v>2907.3856000000005</v>
      </c>
      <c r="M22" s="29">
        <f t="shared" si="0"/>
        <v>13758.164</v>
      </c>
    </row>
    <row r="23" spans="2:13" ht="9.75">
      <c r="B23" s="208" t="s">
        <v>390</v>
      </c>
      <c r="C23" s="208"/>
      <c r="D23" s="208"/>
      <c r="E23" s="208"/>
      <c r="F23" s="208"/>
      <c r="G23" s="171">
        <v>1.75</v>
      </c>
      <c r="H23" s="29">
        <f>(H$9*$G$23)*(1+H$3)</f>
        <v>5110</v>
      </c>
      <c r="I23" s="29">
        <f>(I$9*$G$23)*(1+I$3)</f>
        <v>5263.3</v>
      </c>
      <c r="J23" s="29">
        <f>(J$9*$G$23)*(1+J$3)</f>
        <v>5416.6</v>
      </c>
      <c r="K23" s="29">
        <f>(K$9*$G$23)*(1+K$3)</f>
        <v>5569.900000000001</v>
      </c>
      <c r="L23" s="29">
        <f>(L$9*$G$23)*(1+L$3)</f>
        <v>5723.200000000001</v>
      </c>
      <c r="M23" s="29">
        <f t="shared" si="0"/>
        <v>27083</v>
      </c>
    </row>
    <row r="24" spans="2:13" ht="9.75">
      <c r="B24" s="208" t="s">
        <v>318</v>
      </c>
      <c r="C24" s="208"/>
      <c r="D24" s="208"/>
      <c r="E24" s="208"/>
      <c r="F24" s="208"/>
      <c r="G24" s="171">
        <v>3.5</v>
      </c>
      <c r="H24" s="29">
        <f>(H$9*$G$24)*(1+H$3)</f>
        <v>10220</v>
      </c>
      <c r="I24" s="29">
        <f>(I$9*$G$24)*(1+I$3)</f>
        <v>10526.6</v>
      </c>
      <c r="J24" s="29">
        <f>(J$9*$G$24)*(1+J$3)</f>
        <v>10833.2</v>
      </c>
      <c r="K24" s="29">
        <f>(K$9*$G$24)*(1+K$3)</f>
        <v>11139.800000000001</v>
      </c>
      <c r="L24" s="29">
        <f>(L$9*$G$24)*(1+L$3)</f>
        <v>11446.400000000001</v>
      </c>
      <c r="M24" s="29">
        <f t="shared" si="0"/>
        <v>54166</v>
      </c>
    </row>
    <row r="25" spans="2:13" ht="9.75">
      <c r="B25" s="208" t="s">
        <v>393</v>
      </c>
      <c r="C25" s="208"/>
      <c r="D25" s="208"/>
      <c r="E25" s="208"/>
      <c r="F25" s="208"/>
      <c r="G25" s="171">
        <v>13</v>
      </c>
      <c r="H25" s="29">
        <f>(H$9*$G$25)*(1+H$3)</f>
        <v>37960</v>
      </c>
      <c r="I25" s="29">
        <f>(I$9*$G$25)*(1+I$3)</f>
        <v>39098.8</v>
      </c>
      <c r="J25" s="29">
        <f>(J$9*$G$25)*(1+J$3)</f>
        <v>40237.6</v>
      </c>
      <c r="K25" s="29">
        <f>(K$9*$G$25)*(1+K$3)</f>
        <v>41376.4</v>
      </c>
      <c r="L25" s="29">
        <f>(L$9*$G$25)*(1+L$3)</f>
        <v>42515.200000000004</v>
      </c>
      <c r="M25" s="29">
        <f t="shared" si="0"/>
        <v>201188</v>
      </c>
    </row>
    <row r="26" spans="2:13" ht="9.75">
      <c r="B26" s="208" t="s">
        <v>394</v>
      </c>
      <c r="C26" s="208"/>
      <c r="D26" s="208"/>
      <c r="E26" s="208"/>
      <c r="F26" s="208"/>
      <c r="G26" s="171">
        <v>0.5</v>
      </c>
      <c r="H26" s="29">
        <f>(H$9*$G$26)*(1+H$3)</f>
        <v>1460</v>
      </c>
      <c r="I26" s="29">
        <f>(I$9*$G$26)*(1+I$3)</f>
        <v>1503.8</v>
      </c>
      <c r="J26" s="29">
        <f>(J$9*$G$26)*(1+J$3)</f>
        <v>1547.6000000000001</v>
      </c>
      <c r="K26" s="29">
        <f>(K$9*$G$26)*(1+K$3)</f>
        <v>1591.4</v>
      </c>
      <c r="L26" s="29">
        <f>(L$9*$G$26)*(1+L$3)</f>
        <v>1635.2</v>
      </c>
      <c r="M26" s="29">
        <f>SUM(H26:L26)</f>
        <v>7738.000000000001</v>
      </c>
    </row>
    <row r="27" spans="2:13" ht="9.75">
      <c r="B27" s="208" t="s">
        <v>35</v>
      </c>
      <c r="C27" s="208"/>
      <c r="D27" s="208"/>
      <c r="E27" s="208"/>
      <c r="F27" s="208"/>
      <c r="G27" s="171">
        <v>3.25</v>
      </c>
      <c r="H27" s="29">
        <f>(H$9*$G$27)*(1+H$3)</f>
        <v>9490</v>
      </c>
      <c r="I27" s="29">
        <f>(I$9*$G$27)*(1+I$3)</f>
        <v>9774.7</v>
      </c>
      <c r="J27" s="29">
        <f>(J$9*$G$27)*(1+J$3)</f>
        <v>10059.4</v>
      </c>
      <c r="K27" s="29">
        <f>(K$9*$G$27)*(1+K$3)</f>
        <v>10344.1</v>
      </c>
      <c r="L27" s="29">
        <f>(L$9*$G$27)*(1+L$3)</f>
        <v>10628.800000000001</v>
      </c>
      <c r="M27" s="29">
        <f>SUM(H27:L27)</f>
        <v>50297</v>
      </c>
    </row>
    <row r="28" spans="3:13" ht="9.75">
      <c r="C28" s="34" t="s">
        <v>75</v>
      </c>
      <c r="G28" s="141">
        <f aca="true" t="shared" si="1" ref="G28:L28">SUM(G15:G27)</f>
        <v>79.899</v>
      </c>
      <c r="H28" s="31">
        <f t="shared" si="1"/>
        <v>233305.08000000002</v>
      </c>
      <c r="I28" s="31">
        <f t="shared" si="1"/>
        <v>240304.23240000004</v>
      </c>
      <c r="J28" s="31">
        <f t="shared" si="1"/>
        <v>247303.38480000003</v>
      </c>
      <c r="K28" s="31">
        <f t="shared" si="1"/>
        <v>254302.53719999996</v>
      </c>
      <c r="L28" s="31">
        <f t="shared" si="1"/>
        <v>261301.68960000004</v>
      </c>
      <c r="M28" s="31">
        <f>SUM(H28:L28)</f>
        <v>1236516.924</v>
      </c>
    </row>
    <row r="31" spans="7:13" ht="10.5">
      <c r="G31" s="86" t="s">
        <v>65</v>
      </c>
      <c r="M31" s="106"/>
    </row>
    <row r="32" spans="2:7" ht="10.5">
      <c r="B32" s="103" t="s">
        <v>76</v>
      </c>
      <c r="G32" s="35" t="s">
        <v>67</v>
      </c>
    </row>
    <row r="33" spans="2:13" ht="9.75">
      <c r="B33" s="34" t="s">
        <v>68</v>
      </c>
      <c r="G33" s="171">
        <v>25</v>
      </c>
      <c r="H33" s="29">
        <f>(H$10*$G$33)*(1+H$3)</f>
        <v>9125</v>
      </c>
      <c r="I33" s="29">
        <f>(I$10*$G$33)*(1+I$3)</f>
        <v>9398.75</v>
      </c>
      <c r="J33" s="29">
        <f>(J$10*$G$33)*(1+J$3)</f>
        <v>9672.5</v>
      </c>
      <c r="K33" s="29">
        <f>(K$10*$G$33)*(1+K$3)</f>
        <v>9946.25</v>
      </c>
      <c r="L33" s="29">
        <f>(L$10*$G$33)*(1+L$3)</f>
        <v>10220.000000000002</v>
      </c>
      <c r="M33" s="29">
        <f>SUM(H33:L33)</f>
        <v>48362.5</v>
      </c>
    </row>
    <row r="34" spans="2:13" ht="9.75">
      <c r="B34" s="34" t="s">
        <v>69</v>
      </c>
      <c r="G34" s="171">
        <f>2.29+0.52</f>
        <v>2.81</v>
      </c>
      <c r="H34" s="29">
        <f>(H$10*$G$34)*(1+H$3)</f>
        <v>1025.65</v>
      </c>
      <c r="I34" s="29">
        <f>(I$10*$G$34)*(1+I$3)</f>
        <v>1056.4195000000002</v>
      </c>
      <c r="J34" s="29">
        <f>(J$10*$G$34)*(1+J$3)</f>
        <v>1087.189</v>
      </c>
      <c r="K34" s="29">
        <f>(K$10*$G$34)*(1+K$3)</f>
        <v>1117.9585000000002</v>
      </c>
      <c r="L34" s="29">
        <f>(L$10*$G$34)*(1+L$3)</f>
        <v>1148.7280000000003</v>
      </c>
      <c r="M34" s="29">
        <f>SUM(H34:L34)</f>
        <v>5435.945000000001</v>
      </c>
    </row>
    <row r="35" spans="2:13" ht="9.75">
      <c r="B35" s="34" t="s">
        <v>336</v>
      </c>
      <c r="G35" s="171">
        <v>12</v>
      </c>
      <c r="H35" s="29">
        <f>(H$10*$G$35)*(1+H$3)</f>
        <v>4380</v>
      </c>
      <c r="I35" s="29">
        <f>(I$10*$G$35)*(1+I$3)</f>
        <v>4511.400000000001</v>
      </c>
      <c r="J35" s="29">
        <f>(J$10*$G$35)*(1+J$3)</f>
        <v>4642.8</v>
      </c>
      <c r="K35" s="29">
        <f>(K$10*$G$35)*(1+K$3)</f>
        <v>4774.200000000001</v>
      </c>
      <c r="L35" s="29">
        <f>(L$10*$G$35)*(1+L$3)</f>
        <v>4905.6</v>
      </c>
      <c r="M35" s="29">
        <f>SUM(H35:L35)</f>
        <v>23214</v>
      </c>
    </row>
    <row r="36" spans="2:13" ht="9.75">
      <c r="B36" s="34" t="s">
        <v>70</v>
      </c>
      <c r="G36" s="171">
        <v>0.5</v>
      </c>
      <c r="H36" s="29">
        <f>(H$10*$G$36)*(1+H$3)</f>
        <v>182.5</v>
      </c>
      <c r="I36" s="29">
        <f>(I$10*$G$36)*(1+I$3)</f>
        <v>187.975</v>
      </c>
      <c r="J36" s="29">
        <f>(J$10*$G$36)*(1+J$3)</f>
        <v>193.45000000000002</v>
      </c>
      <c r="K36" s="29">
        <f>(K$10*$G$36)*(1+K$3)</f>
        <v>198.925</v>
      </c>
      <c r="L36" s="29">
        <f>(L$10*$G$36)*(1+L$3)</f>
        <v>204.4</v>
      </c>
      <c r="M36" s="29">
        <f>SUM(H36:L36)</f>
        <v>967.2500000000001</v>
      </c>
    </row>
    <row r="37" spans="2:13" ht="9.75">
      <c r="B37" s="34" t="s">
        <v>71</v>
      </c>
      <c r="G37" s="171">
        <v>3.5</v>
      </c>
      <c r="H37" s="29">
        <f>(H$10*$G$37)*(1+H$3)</f>
        <v>1277.5</v>
      </c>
      <c r="I37" s="29">
        <f>(I$10*$G$37)*(1+I$3)</f>
        <v>1315.825</v>
      </c>
      <c r="J37" s="29">
        <f>(J$10*$G$37)*(1+J$3)</f>
        <v>1354.15</v>
      </c>
      <c r="K37" s="29">
        <f>(K$10*$G$37)*(1+K$3)</f>
        <v>1392.4750000000001</v>
      </c>
      <c r="L37" s="29">
        <f>(L$10*$G$37)*(1+L$3)</f>
        <v>1430.8000000000002</v>
      </c>
      <c r="M37" s="29">
        <f>SUM(H37:L37)</f>
        <v>6770.75</v>
      </c>
    </row>
    <row r="38" spans="2:13" ht="9.75">
      <c r="B38" s="34" t="s">
        <v>72</v>
      </c>
      <c r="G38" s="171">
        <v>6.35</v>
      </c>
      <c r="H38" s="29">
        <f>(H$10*$G$38)*(1+H$3)</f>
        <v>2317.75</v>
      </c>
      <c r="I38" s="29">
        <f>(I$10*$G$38)*(1+I$3)</f>
        <v>2387.2825000000003</v>
      </c>
      <c r="J38" s="29">
        <f>(J$10*$G$38)*(1+J$3)</f>
        <v>2456.815</v>
      </c>
      <c r="K38" s="29">
        <f>(K$10*$G$38)*(1+K$3)</f>
        <v>2526.3475000000003</v>
      </c>
      <c r="L38" s="29">
        <f>(L$10*$G$38)*(1+L$3)</f>
        <v>2595.88</v>
      </c>
      <c r="M38" s="29">
        <f aca="true" t="shared" si="2" ref="M38:M43">SUM(H38:L38)</f>
        <v>12284.075</v>
      </c>
    </row>
    <row r="39" spans="2:13" ht="9.75">
      <c r="B39" s="34" t="s">
        <v>73</v>
      </c>
      <c r="G39" s="171">
        <v>6.85</v>
      </c>
      <c r="H39" s="29">
        <f>(H$10*$G$39)*(1+H$3)</f>
        <v>2500.25</v>
      </c>
      <c r="I39" s="29">
        <f>(I$10*$G$39)*(1+I$3)</f>
        <v>2575.2575</v>
      </c>
      <c r="J39" s="29">
        <f>(J$10*$G$39)*(1+J$3)</f>
        <v>2650.2650000000003</v>
      </c>
      <c r="K39" s="29">
        <f>(K$10*$G$39)*(1+K$3)</f>
        <v>2725.2725</v>
      </c>
      <c r="L39" s="29">
        <f>(L$10*$G$39)*(1+L$3)</f>
        <v>2800.28</v>
      </c>
      <c r="M39" s="29">
        <f t="shared" si="2"/>
        <v>13251.325</v>
      </c>
    </row>
    <row r="40" spans="2:13" ht="9.75">
      <c r="B40" s="34" t="str">
        <f aca="true" t="shared" si="3" ref="B40:B45">B22</f>
        <v>Bio Hazardous</v>
      </c>
      <c r="G40" s="171">
        <v>0.889</v>
      </c>
      <c r="H40" s="29">
        <f>(H$10*$G$40)*(1+H$3)</f>
        <v>324.485</v>
      </c>
      <c r="I40" s="29">
        <f>(I$10*$G$40)*(1+I$3)</f>
        <v>334.21955</v>
      </c>
      <c r="J40" s="29">
        <f>(J$10*$G$40)*(1+J$3)</f>
        <v>343.95410000000004</v>
      </c>
      <c r="K40" s="29">
        <f>(K$10*$G$40)*(1+K$3)</f>
        <v>353.68865000000005</v>
      </c>
      <c r="L40" s="29">
        <f>(L$10*$G$40)*(1+L$3)</f>
        <v>363.42320000000007</v>
      </c>
      <c r="M40" s="29">
        <f t="shared" si="2"/>
        <v>1719.7705</v>
      </c>
    </row>
    <row r="41" spans="2:13" ht="9.75">
      <c r="B41" s="34" t="str">
        <f t="shared" si="3"/>
        <v>Dietary</v>
      </c>
      <c r="G41" s="171">
        <v>1.75</v>
      </c>
      <c r="H41" s="29">
        <f>(H$10*$G$41)*(1+H$3)</f>
        <v>638.75</v>
      </c>
      <c r="I41" s="29">
        <f>(I$10*$G$41)*(1+I$3)</f>
        <v>657.9125</v>
      </c>
      <c r="J41" s="29">
        <f>(J$10*$G$41)*(1+J$3)</f>
        <v>677.075</v>
      </c>
      <c r="K41" s="29">
        <f>(K$10*$G$41)*(1+K$3)</f>
        <v>696.2375000000001</v>
      </c>
      <c r="L41" s="29">
        <f>(L$10*$G$41)*(1+L$3)</f>
        <v>715.4000000000001</v>
      </c>
      <c r="M41" s="29">
        <f t="shared" si="2"/>
        <v>3385.375</v>
      </c>
    </row>
    <row r="42" spans="2:13" ht="9.75">
      <c r="B42" s="34" t="str">
        <f t="shared" si="3"/>
        <v>Oxygen</v>
      </c>
      <c r="G42" s="171">
        <v>3.5</v>
      </c>
      <c r="H42" s="29">
        <f>(H$10*$G$42)*(1+H$3)</f>
        <v>1277.5</v>
      </c>
      <c r="I42" s="29">
        <f>(I$10*$G$42)*(1+I$3)</f>
        <v>1315.825</v>
      </c>
      <c r="J42" s="29">
        <f>(J$10*$G$42)*(1+J$3)</f>
        <v>1354.15</v>
      </c>
      <c r="K42" s="29">
        <f>(K$10*$G$42)*(1+K$3)</f>
        <v>1392.4750000000001</v>
      </c>
      <c r="L42" s="29">
        <f>(L$10*$G$42)*(1+L$3)</f>
        <v>1430.8000000000002</v>
      </c>
      <c r="M42" s="29">
        <f t="shared" si="2"/>
        <v>6770.75</v>
      </c>
    </row>
    <row r="43" spans="2:13" ht="9.75">
      <c r="B43" s="34" t="str">
        <f t="shared" si="3"/>
        <v>Food</v>
      </c>
      <c r="G43" s="171">
        <v>13</v>
      </c>
      <c r="H43" s="29">
        <f>(H$10*$G$43)*(1+H$3)</f>
        <v>4745</v>
      </c>
      <c r="I43" s="29">
        <f>(I$10*$G$43)*(1+I$3)</f>
        <v>4887.35</v>
      </c>
      <c r="J43" s="29">
        <f>(J$10*$G$43)*(1+J$3)</f>
        <v>5029.7</v>
      </c>
      <c r="K43" s="29">
        <f>(K$10*$G$43)*(1+K$3)</f>
        <v>5172.05</v>
      </c>
      <c r="L43" s="29">
        <f>(L$10*$G$43)*(1+L$3)</f>
        <v>5314.400000000001</v>
      </c>
      <c r="M43" s="29">
        <f t="shared" si="2"/>
        <v>25148.5</v>
      </c>
    </row>
    <row r="44" spans="2:13" ht="9.75">
      <c r="B44" s="34" t="str">
        <f t="shared" si="3"/>
        <v>Imaging</v>
      </c>
      <c r="G44" s="171">
        <v>0.5</v>
      </c>
      <c r="H44" s="29">
        <f>(H$10*$G$44)*(1+H$3)</f>
        <v>182.5</v>
      </c>
      <c r="I44" s="29">
        <f>(I$10*$G$44)*(1+I$3)</f>
        <v>187.975</v>
      </c>
      <c r="J44" s="29">
        <f>(J$10*$G$44)*(1+J$3)</f>
        <v>193.45000000000002</v>
      </c>
      <c r="K44" s="29">
        <f>(K$10*$G$44)*(1+K$3)</f>
        <v>198.925</v>
      </c>
      <c r="L44" s="29">
        <f>(L$10*$G$44)*(1+L$3)</f>
        <v>204.4</v>
      </c>
      <c r="M44" s="29">
        <f>SUM(H44:L44)</f>
        <v>967.2500000000001</v>
      </c>
    </row>
    <row r="45" spans="2:13" ht="9.75">
      <c r="B45" s="34" t="str">
        <f t="shared" si="3"/>
        <v>Other</v>
      </c>
      <c r="G45" s="171">
        <v>3.25</v>
      </c>
      <c r="H45" s="29">
        <f>(H$10*$G$45)*(1+H$3)</f>
        <v>1186.25</v>
      </c>
      <c r="I45" s="29">
        <f>(I$10*$G$45)*(1+I$3)</f>
        <v>1221.8375</v>
      </c>
      <c r="J45" s="29">
        <f>(J$10*$G$45)*(1+J$3)</f>
        <v>1257.425</v>
      </c>
      <c r="K45" s="29">
        <f>(K$10*$G$45)*(1+K$3)</f>
        <v>1293.0125</v>
      </c>
      <c r="L45" s="29">
        <f>(L$10*$G$45)*(1+L$3)</f>
        <v>1328.6000000000001</v>
      </c>
      <c r="M45" s="29">
        <f>SUM(H45:L45)</f>
        <v>6287.125</v>
      </c>
    </row>
    <row r="46" spans="3:13" ht="9.75">
      <c r="C46" s="34" t="s">
        <v>75</v>
      </c>
      <c r="G46" s="141">
        <f aca="true" t="shared" si="4" ref="G46:L46">SUM(G33:G45)</f>
        <v>79.899</v>
      </c>
      <c r="H46" s="31">
        <f t="shared" si="4"/>
        <v>29163.135000000002</v>
      </c>
      <c r="I46" s="31">
        <f t="shared" si="4"/>
        <v>30038.029050000005</v>
      </c>
      <c r="J46" s="31">
        <f t="shared" si="4"/>
        <v>30912.923100000004</v>
      </c>
      <c r="K46" s="31">
        <f t="shared" si="4"/>
        <v>31787.817149999995</v>
      </c>
      <c r="L46" s="31">
        <f t="shared" si="4"/>
        <v>32662.711200000005</v>
      </c>
      <c r="M46" s="31">
        <f>SUM(H46:L46)</f>
        <v>154564.6155</v>
      </c>
    </row>
    <row r="49" spans="7:13" ht="10.5">
      <c r="G49" s="86" t="s">
        <v>65</v>
      </c>
      <c r="M49" s="106"/>
    </row>
    <row r="50" spans="2:7" ht="10.5">
      <c r="B50" s="103" t="s">
        <v>326</v>
      </c>
      <c r="G50" s="35" t="s">
        <v>67</v>
      </c>
    </row>
    <row r="51" spans="2:13" ht="9.75">
      <c r="B51" s="34" t="s">
        <v>68</v>
      </c>
      <c r="G51" s="171">
        <v>25</v>
      </c>
      <c r="H51" s="29">
        <f>(H$11*$G$51)*(1+H$3)</f>
        <v>18250</v>
      </c>
      <c r="I51" s="29">
        <f>(I$11*$G$51)*(1+I$3)</f>
        <v>18797.5</v>
      </c>
      <c r="J51" s="29">
        <f>(J$11*$G$51)*(1+J$3)</f>
        <v>19345</v>
      </c>
      <c r="K51" s="29">
        <f>(K$11*$G$51)*(1+K$3)</f>
        <v>19892.5</v>
      </c>
      <c r="L51" s="29">
        <f>(L$11*$G$51)*(1+L$3)</f>
        <v>20440.000000000004</v>
      </c>
      <c r="M51" s="29">
        <f>SUM(H51:L51)</f>
        <v>96725</v>
      </c>
    </row>
    <row r="52" spans="2:13" ht="9.75">
      <c r="B52" s="34" t="s">
        <v>69</v>
      </c>
      <c r="G52" s="171">
        <f>2.29+0.52</f>
        <v>2.81</v>
      </c>
      <c r="H52" s="29">
        <f>(H$11*$G$52)*(1+H$3)</f>
        <v>2051.3</v>
      </c>
      <c r="I52" s="29">
        <f>(I$11*$G$52)*(1+I$3)</f>
        <v>2112.8390000000004</v>
      </c>
      <c r="J52" s="29">
        <f>(J$11*$G$52)*(1+J$3)</f>
        <v>2174.378</v>
      </c>
      <c r="K52" s="29">
        <f>(K$11*$G$52)*(1+K$3)</f>
        <v>2235.9170000000004</v>
      </c>
      <c r="L52" s="29">
        <f>(L$11*$G$52)*(1+L$3)</f>
        <v>2297.4560000000006</v>
      </c>
      <c r="M52" s="29">
        <f>SUM(H52:L52)</f>
        <v>10871.890000000001</v>
      </c>
    </row>
    <row r="53" spans="2:13" ht="9.75">
      <c r="B53" s="34" t="s">
        <v>336</v>
      </c>
      <c r="G53" s="171">
        <v>12</v>
      </c>
      <c r="H53" s="29">
        <f>(H$11*$G$53)*(1+H$3)</f>
        <v>8760</v>
      </c>
      <c r="I53" s="29">
        <f>(I$11*$G$53)*(1+I$3)</f>
        <v>9022.800000000001</v>
      </c>
      <c r="J53" s="29">
        <f>(J$11*$G$53)*(1+J$3)</f>
        <v>9285.6</v>
      </c>
      <c r="K53" s="29">
        <f>(K$11*$G$53)*(1+K$3)</f>
        <v>9548.400000000001</v>
      </c>
      <c r="L53" s="29">
        <f>(L$11*$G$53)*(1+L$3)</f>
        <v>9811.2</v>
      </c>
      <c r="M53" s="29">
        <f>SUM(H53:L53)</f>
        <v>46428</v>
      </c>
    </row>
    <row r="54" spans="2:13" ht="9.75">
      <c r="B54" s="34" t="s">
        <v>70</v>
      </c>
      <c r="G54" s="171">
        <v>0.5</v>
      </c>
      <c r="H54" s="29">
        <f>(H$11*$G$54)*(1+H$3)</f>
        <v>365</v>
      </c>
      <c r="I54" s="29">
        <f>(I$11*$G$54)*(1+I$3)</f>
        <v>375.95</v>
      </c>
      <c r="J54" s="29">
        <f>(J$11*$G$54)*(1+J$3)</f>
        <v>386.90000000000003</v>
      </c>
      <c r="K54" s="29">
        <f>(K$11*$G$54)*(1+K$3)</f>
        <v>397.85</v>
      </c>
      <c r="L54" s="29">
        <f>(L$11*$G$54)*(1+L$3)</f>
        <v>408.8</v>
      </c>
      <c r="M54" s="29">
        <f>SUM(H54:L54)</f>
        <v>1934.5000000000002</v>
      </c>
    </row>
    <row r="55" spans="2:13" ht="9.75">
      <c r="B55" s="34" t="s">
        <v>71</v>
      </c>
      <c r="G55" s="171">
        <v>3.5</v>
      </c>
      <c r="H55" s="29">
        <f>(H$11*$G$55)*(1+H$3)</f>
        <v>2555</v>
      </c>
      <c r="I55" s="29">
        <f>(I$11*$G$55)*(1+I$3)</f>
        <v>2631.65</v>
      </c>
      <c r="J55" s="29">
        <f>(J$11*$G$55)*(1+J$3)</f>
        <v>2708.3</v>
      </c>
      <c r="K55" s="29">
        <f>(K$11*$G$55)*(1+K$3)</f>
        <v>2784.9500000000003</v>
      </c>
      <c r="L55" s="29">
        <f>(L$11*$G$55)*(1+L$3)</f>
        <v>2861.6000000000004</v>
      </c>
      <c r="M55" s="29">
        <f>SUM(H55:L55)</f>
        <v>13541.5</v>
      </c>
    </row>
    <row r="56" spans="2:13" ht="9.75">
      <c r="B56" s="34" t="s">
        <v>72</v>
      </c>
      <c r="G56" s="171">
        <v>6.35</v>
      </c>
      <c r="H56" s="29">
        <f>(H$11*$G$56)*(1+H$3)</f>
        <v>4635.5</v>
      </c>
      <c r="I56" s="29">
        <f>(I$11*$G$56)*(1+I$3)</f>
        <v>4774.5650000000005</v>
      </c>
      <c r="J56" s="29">
        <f>(J$11*$G$56)*(1+J$3)</f>
        <v>4913.63</v>
      </c>
      <c r="K56" s="29">
        <f>(K$11*$G$56)*(1+K$3)</f>
        <v>5052.695000000001</v>
      </c>
      <c r="L56" s="29">
        <f>(L$11*$G$56)*(1+L$3)</f>
        <v>5191.76</v>
      </c>
      <c r="M56" s="29">
        <f aca="true" t="shared" si="5" ref="M56:M61">SUM(H56:L56)</f>
        <v>24568.15</v>
      </c>
    </row>
    <row r="57" spans="2:13" ht="9.75">
      <c r="B57" s="34" t="s">
        <v>73</v>
      </c>
      <c r="G57" s="171">
        <v>6.85</v>
      </c>
      <c r="H57" s="29">
        <f>(H$11*$G$57)*(1+H$3)</f>
        <v>5000.5</v>
      </c>
      <c r="I57" s="29">
        <f>(I$11*$G$57)*(1+I$3)</f>
        <v>5150.515</v>
      </c>
      <c r="J57" s="29">
        <f>(J$11*$G$57)*(1+J$3)</f>
        <v>5300.530000000001</v>
      </c>
      <c r="K57" s="29">
        <f>(K$11*$G$57)*(1+K$3)</f>
        <v>5450.545</v>
      </c>
      <c r="L57" s="29">
        <f>(L$11*$G$57)*(1+L$3)</f>
        <v>5600.56</v>
      </c>
      <c r="M57" s="29">
        <f t="shared" si="5"/>
        <v>26502.65</v>
      </c>
    </row>
    <row r="58" spans="2:13" ht="9.75">
      <c r="B58" s="34" t="str">
        <f aca="true" t="shared" si="6" ref="B58:B63">B22</f>
        <v>Bio Hazardous</v>
      </c>
      <c r="G58" s="171">
        <v>0.889</v>
      </c>
      <c r="H58" s="29">
        <f>(H$11*$G$58)*(1+H$3)</f>
        <v>648.97</v>
      </c>
      <c r="I58" s="29">
        <f>(I$11*$G$58)*(1+I$3)</f>
        <v>668.4391</v>
      </c>
      <c r="J58" s="29">
        <f>(J$11*$G$58)*(1+J$3)</f>
        <v>687.9082000000001</v>
      </c>
      <c r="K58" s="29">
        <f>(K$11*$G$58)*(1+K$3)</f>
        <v>707.3773000000001</v>
      </c>
      <c r="L58" s="29">
        <f>(L$11*$G$58)*(1+L$3)</f>
        <v>726.8464000000001</v>
      </c>
      <c r="M58" s="29">
        <f t="shared" si="5"/>
        <v>3439.541</v>
      </c>
    </row>
    <row r="59" spans="2:13" ht="9.75">
      <c r="B59" s="34" t="str">
        <f t="shared" si="6"/>
        <v>Dietary</v>
      </c>
      <c r="G59" s="171">
        <v>1.75</v>
      </c>
      <c r="H59" s="29">
        <f>(H$11*$G$59)*(1+H$3)</f>
        <v>1277.5</v>
      </c>
      <c r="I59" s="29">
        <f>(I$11*$G$59)*(1+I$3)</f>
        <v>1315.825</v>
      </c>
      <c r="J59" s="29">
        <f>(J$11*$G$59)*(1+J$3)</f>
        <v>1354.15</v>
      </c>
      <c r="K59" s="29">
        <f>(K$11*$G$59)*(1+K$3)</f>
        <v>1392.4750000000001</v>
      </c>
      <c r="L59" s="29">
        <f>(L$11*$G$59)*(1+L$3)</f>
        <v>1430.8000000000002</v>
      </c>
      <c r="M59" s="29">
        <f t="shared" si="5"/>
        <v>6770.75</v>
      </c>
    </row>
    <row r="60" spans="2:13" ht="9.75">
      <c r="B60" s="34" t="str">
        <f t="shared" si="6"/>
        <v>Oxygen</v>
      </c>
      <c r="G60" s="171">
        <v>3.5</v>
      </c>
      <c r="H60" s="29">
        <f>(H$11*$G$60)*(1+H$3)</f>
        <v>2555</v>
      </c>
      <c r="I60" s="29">
        <f>(I$11*$G$60)*(1+I$3)</f>
        <v>2631.65</v>
      </c>
      <c r="J60" s="29">
        <f>(J$11*$G$60)*(1+J$3)</f>
        <v>2708.3</v>
      </c>
      <c r="K60" s="29">
        <f>(K$11*$G$60)*(1+K$3)</f>
        <v>2784.9500000000003</v>
      </c>
      <c r="L60" s="29">
        <f>(L$11*$G$60)*(1+L$3)</f>
        <v>2861.6000000000004</v>
      </c>
      <c r="M60" s="29">
        <f t="shared" si="5"/>
        <v>13541.5</v>
      </c>
    </row>
    <row r="61" spans="2:13" ht="9.75">
      <c r="B61" s="34" t="str">
        <f t="shared" si="6"/>
        <v>Food</v>
      </c>
      <c r="G61" s="171">
        <v>13</v>
      </c>
      <c r="H61" s="29">
        <f>(H$11*$G$61)*(1+H$3)</f>
        <v>9490</v>
      </c>
      <c r="I61" s="29">
        <f>(I$11*$G$61)*(1+I$3)</f>
        <v>9774.7</v>
      </c>
      <c r="J61" s="29">
        <f>(J$11*$G$61)*(1+J$3)</f>
        <v>10059.4</v>
      </c>
      <c r="K61" s="29">
        <f>(K$11*$G$61)*(1+K$3)</f>
        <v>10344.1</v>
      </c>
      <c r="L61" s="29">
        <f>(L$11*$G$61)*(1+L$3)</f>
        <v>10628.800000000001</v>
      </c>
      <c r="M61" s="29">
        <f t="shared" si="5"/>
        <v>50297</v>
      </c>
    </row>
    <row r="62" spans="2:13" ht="9.75">
      <c r="B62" s="34" t="str">
        <f t="shared" si="6"/>
        <v>Imaging</v>
      </c>
      <c r="G62" s="171">
        <v>0.5</v>
      </c>
      <c r="H62" s="29">
        <f>(H$11*$G$62)*(1+H$3)</f>
        <v>365</v>
      </c>
      <c r="I62" s="29">
        <f>(I$11*$G$62)*(1+I$3)</f>
        <v>375.95</v>
      </c>
      <c r="J62" s="29">
        <f>(J$11*$G$62)*(1+J$3)</f>
        <v>386.90000000000003</v>
      </c>
      <c r="K62" s="29">
        <f>(K$11*$G$62)*(1+K$3)</f>
        <v>397.85</v>
      </c>
      <c r="L62" s="29">
        <f>(L$11*$G$62)*(1+L$3)</f>
        <v>408.8</v>
      </c>
      <c r="M62" s="29">
        <f>SUM(H62:L62)</f>
        <v>1934.5000000000002</v>
      </c>
    </row>
    <row r="63" spans="2:13" ht="9.75">
      <c r="B63" s="34" t="str">
        <f t="shared" si="6"/>
        <v>Other</v>
      </c>
      <c r="G63" s="171">
        <v>3.25</v>
      </c>
      <c r="H63" s="29">
        <f>(H$11*$G$63)*(1+H$3)</f>
        <v>2372.5</v>
      </c>
      <c r="I63" s="29">
        <f>(I$11*$G$63)*(1+I$3)</f>
        <v>2443.675</v>
      </c>
      <c r="J63" s="29">
        <f>(J$11*$G$63)*(1+J$3)</f>
        <v>2514.85</v>
      </c>
      <c r="K63" s="29">
        <f>(K$11*$G$63)*(1+K$3)</f>
        <v>2586.025</v>
      </c>
      <c r="L63" s="29">
        <f>(L$11*$G$63)*(1+L$3)</f>
        <v>2657.2000000000003</v>
      </c>
      <c r="M63" s="29">
        <f>SUM(H63:L63)</f>
        <v>12574.25</v>
      </c>
    </row>
    <row r="64" spans="3:13" ht="9.75">
      <c r="C64" s="34" t="s">
        <v>75</v>
      </c>
      <c r="G64" s="141">
        <f aca="true" t="shared" si="7" ref="G64:L64">SUM(G51:G63)</f>
        <v>79.899</v>
      </c>
      <c r="H64" s="31">
        <f t="shared" si="7"/>
        <v>58326.270000000004</v>
      </c>
      <c r="I64" s="31">
        <f t="shared" si="7"/>
        <v>60076.05810000001</v>
      </c>
      <c r="J64" s="31">
        <f t="shared" si="7"/>
        <v>61825.84620000001</v>
      </c>
      <c r="K64" s="31">
        <f t="shared" si="7"/>
        <v>63575.63429999999</v>
      </c>
      <c r="L64" s="31">
        <f t="shared" si="7"/>
        <v>65325.42240000001</v>
      </c>
      <c r="M64" s="31">
        <f>SUM(H64:L64)</f>
        <v>309129.231</v>
      </c>
    </row>
    <row r="67" ht="9.75">
      <c r="B67" s="157" t="str">
        <f>Reserved</f>
        <v>This product was created by Multi-View Incorporated.  It is reserved for the exclusive use of MVI clients. Need help?  828-698-5885</v>
      </c>
    </row>
  </sheetData>
  <sheetProtection password="DFAD" sheet="1" objects="1" scenarios="1"/>
  <printOptions/>
  <pageMargins left="0" right="0" top="0.5" bottom="0.5" header="0.5" footer="0.5"/>
  <pageSetup horizontalDpi="300" verticalDpi="300" orientation="landscape" scale="70" r:id="rId1"/>
  <headerFooter alignWithMargins="0">
    <oddFooter>&amp;L&amp;F    &amp;A</oddFooter>
  </headerFooter>
</worksheet>
</file>

<file path=xl/worksheets/sheet13.xml><?xml version="1.0" encoding="utf-8"?>
<worksheet xmlns="http://schemas.openxmlformats.org/spreadsheetml/2006/main" xmlns:r="http://schemas.openxmlformats.org/officeDocument/2006/relationships">
  <sheetPr>
    <tabColor indexed="18"/>
  </sheetPr>
  <dimension ref="A1:O68"/>
  <sheetViews>
    <sheetView showGridLines="0" zoomScalePageLayoutView="0" workbookViewId="0" topLeftCell="A6">
      <selection activeCell="E38" sqref="E38"/>
    </sheetView>
  </sheetViews>
  <sheetFormatPr defaultColWidth="9.140625" defaultRowHeight="12.75"/>
  <cols>
    <col min="1" max="1" width="4.421875" style="34" customWidth="1"/>
    <col min="2" max="2" width="2.421875" style="34" customWidth="1"/>
    <col min="3" max="3" width="2.7109375" style="34" customWidth="1"/>
    <col min="4" max="4" width="20.140625" style="34" customWidth="1"/>
    <col min="5" max="5" width="12.7109375" style="34" customWidth="1"/>
    <col min="6" max="6" width="9.140625" style="34" customWidth="1"/>
    <col min="7" max="7" width="8.00390625" style="34" customWidth="1"/>
    <col min="8" max="8" width="8.140625" style="34" customWidth="1"/>
    <col min="9" max="9" width="7.7109375" style="34" customWidth="1"/>
    <col min="10" max="10" width="7.8515625" style="34" customWidth="1"/>
    <col min="11" max="11" width="9.421875" style="34" customWidth="1"/>
    <col min="12" max="12" width="2.57421875" style="34" customWidth="1"/>
    <col min="13" max="13" width="10.57421875" style="34" customWidth="1"/>
    <col min="14" max="16384" width="9.140625" style="34" customWidth="1"/>
  </cols>
  <sheetData>
    <row r="1" spans="1:15" ht="12">
      <c r="A1" s="85" t="s">
        <v>77</v>
      </c>
      <c r="M1" s="43" t="s">
        <v>160</v>
      </c>
      <c r="N1" s="44" t="str">
        <f>Name</f>
        <v>Sunny Day Hospice</v>
      </c>
      <c r="O1" s="45"/>
    </row>
    <row r="2" spans="13:15" ht="12">
      <c r="M2" s="43" t="s">
        <v>161</v>
      </c>
      <c r="N2" s="44" t="str">
        <f>CON.Number</f>
        <v>XX-XXX</v>
      </c>
      <c r="O2" s="45"/>
    </row>
    <row r="3" spans="2:15" ht="9.75">
      <c r="B3" s="34" t="s">
        <v>111</v>
      </c>
      <c r="F3" s="104">
        <v>0</v>
      </c>
      <c r="G3" s="104">
        <v>0.03</v>
      </c>
      <c r="H3" s="104">
        <v>0.06</v>
      </c>
      <c r="I3" s="104">
        <v>0.09</v>
      </c>
      <c r="J3" s="104">
        <v>0.12</v>
      </c>
      <c r="M3" s="43" t="s">
        <v>162</v>
      </c>
      <c r="N3" s="46" t="s">
        <v>164</v>
      </c>
      <c r="O3" s="47" t="str">
        <f>state</f>
        <v>GA</v>
      </c>
    </row>
    <row r="4" spans="6:15" s="85" customFormat="1" ht="10.5">
      <c r="F4" s="142" t="str">
        <f>'Pro Forma IS'!G$2</f>
        <v>Year 1</v>
      </c>
      <c r="G4" s="142" t="str">
        <f>'Pro Forma IS'!H$2</f>
        <v>Year 2</v>
      </c>
      <c r="H4" s="142" t="str">
        <f>'Pro Forma IS'!I$2</f>
        <v>Year 3</v>
      </c>
      <c r="I4" s="142" t="str">
        <f>'Pro Forma IS'!J$2</f>
        <v>Year 4</v>
      </c>
      <c r="J4" s="142" t="str">
        <f>'Pro Forma IS'!K$2</f>
        <v>Year 5</v>
      </c>
      <c r="K4" s="35" t="s">
        <v>0</v>
      </c>
      <c r="M4" s="43" t="s">
        <v>163</v>
      </c>
      <c r="N4" s="48">
        <v>1</v>
      </c>
      <c r="O4" s="49" t="str">
        <f>Submission.Date</f>
        <v>3/30/17</v>
      </c>
    </row>
    <row r="5" spans="2:11" ht="9.75">
      <c r="B5" s="34" t="s">
        <v>279</v>
      </c>
      <c r="E5" s="91" t="s">
        <v>27</v>
      </c>
      <c r="F5" s="87">
        <f>'Pro Forma IS'!G$4</f>
        <v>8</v>
      </c>
      <c r="G5" s="87">
        <f>'Pro Forma IS'!H$4</f>
        <v>8</v>
      </c>
      <c r="H5" s="87">
        <f>'Pro Forma IS'!I$4</f>
        <v>8</v>
      </c>
      <c r="I5" s="87">
        <f>'Pro Forma IS'!J$4</f>
        <v>8</v>
      </c>
      <c r="J5" s="87">
        <f>'Pro Forma IS'!K$4</f>
        <v>8</v>
      </c>
      <c r="K5" s="106"/>
    </row>
    <row r="6" spans="2:11" ht="9.75">
      <c r="B6" s="34" t="s">
        <v>280</v>
      </c>
      <c r="E6" s="91" t="s">
        <v>27</v>
      </c>
      <c r="F6" s="87">
        <f>'Pro Forma IS'!G$5</f>
        <v>1</v>
      </c>
      <c r="G6" s="87">
        <f>'Pro Forma IS'!H$5</f>
        <v>1</v>
      </c>
      <c r="H6" s="87">
        <f>'Pro Forma IS'!I$5</f>
        <v>1</v>
      </c>
      <c r="I6" s="87">
        <f>'Pro Forma IS'!J$5</f>
        <v>1</v>
      </c>
      <c r="J6" s="87">
        <f>'Pro Forma IS'!K$5</f>
        <v>1</v>
      </c>
      <c r="K6" s="106"/>
    </row>
    <row r="7" spans="2:11" ht="9.75">
      <c r="B7" s="34" t="s">
        <v>281</v>
      </c>
      <c r="E7" s="91" t="s">
        <v>27</v>
      </c>
      <c r="F7" s="87">
        <f>'Pro Forma IS'!G6</f>
        <v>2</v>
      </c>
      <c r="G7" s="87">
        <f>'Pro Forma IS'!H6</f>
        <v>2</v>
      </c>
      <c r="H7" s="87">
        <f>'Pro Forma IS'!I6</f>
        <v>2</v>
      </c>
      <c r="I7" s="87">
        <f>'Pro Forma IS'!J6</f>
        <v>2</v>
      </c>
      <c r="J7" s="87">
        <f>'Pro Forma IS'!K6</f>
        <v>2</v>
      </c>
      <c r="K7" s="106"/>
    </row>
    <row r="8" spans="2:11" ht="9.75">
      <c r="B8" s="34" t="s">
        <v>282</v>
      </c>
      <c r="E8" s="91" t="s">
        <v>27</v>
      </c>
      <c r="F8" s="29">
        <f>'Pro Forma IS'!G$7</f>
        <v>2920</v>
      </c>
      <c r="G8" s="29">
        <f>'Pro Forma IS'!H$7</f>
        <v>2920</v>
      </c>
      <c r="H8" s="29">
        <f>'Pro Forma IS'!I$7</f>
        <v>2920</v>
      </c>
      <c r="I8" s="29">
        <f>'Pro Forma IS'!J$7</f>
        <v>2920</v>
      </c>
      <c r="J8" s="29">
        <f>'Pro Forma IS'!K$7</f>
        <v>2920</v>
      </c>
      <c r="K8" s="106"/>
    </row>
    <row r="9" spans="2:11" ht="9.75">
      <c r="B9" s="34" t="s">
        <v>283</v>
      </c>
      <c r="E9" s="91" t="s">
        <v>27</v>
      </c>
      <c r="F9" s="29">
        <f>'Pro Forma IS'!G$8</f>
        <v>365</v>
      </c>
      <c r="G9" s="29">
        <f>'Pro Forma IS'!H$8</f>
        <v>365</v>
      </c>
      <c r="H9" s="29">
        <f>'Pro Forma IS'!I$8</f>
        <v>365</v>
      </c>
      <c r="I9" s="29">
        <f>'Pro Forma IS'!J$8</f>
        <v>365</v>
      </c>
      <c r="J9" s="29">
        <f>'Pro Forma IS'!K$8</f>
        <v>365</v>
      </c>
      <c r="K9" s="106"/>
    </row>
    <row r="10" spans="2:11" ht="9.75">
      <c r="B10" s="34" t="s">
        <v>284</v>
      </c>
      <c r="E10" s="91" t="s">
        <v>27</v>
      </c>
      <c r="F10" s="29">
        <f>'Pro Forma IS'!G9</f>
        <v>730</v>
      </c>
      <c r="G10" s="29">
        <f>'Pro Forma IS'!H9</f>
        <v>730</v>
      </c>
      <c r="H10" s="29">
        <f>'Pro Forma IS'!I9</f>
        <v>730</v>
      </c>
      <c r="I10" s="29">
        <f>'Pro Forma IS'!J9</f>
        <v>730</v>
      </c>
      <c r="J10" s="29">
        <f>'Pro Forma IS'!K9</f>
        <v>730</v>
      </c>
      <c r="K10" s="106"/>
    </row>
    <row r="12" ht="10.5">
      <c r="E12" s="86" t="s">
        <v>78</v>
      </c>
    </row>
    <row r="13" spans="2:13" ht="9.75">
      <c r="B13" s="34" t="s">
        <v>79</v>
      </c>
      <c r="E13" s="143">
        <f>'Construction Costs &amp; Depr'!$F$7</f>
        <v>14400</v>
      </c>
      <c r="M13" s="280" t="s">
        <v>290</v>
      </c>
    </row>
    <row r="14" spans="2:13" ht="9.75">
      <c r="B14" s="34" t="s">
        <v>185</v>
      </c>
      <c r="E14" s="171">
        <v>3</v>
      </c>
      <c r="F14" s="29">
        <f>($E$13*$E14)/365*('Pro Forma IS'!G$10)*(F$3+1)</f>
        <v>43200</v>
      </c>
      <c r="G14" s="29">
        <f>($E$13*$E14)/365*('Pro Forma IS'!H$10)*(G$3+1)</f>
        <v>44496</v>
      </c>
      <c r="H14" s="29">
        <f>($E$13*$E14)/365*('Pro Forma IS'!I$10)*(H$3+1)</f>
        <v>45792</v>
      </c>
      <c r="I14" s="29">
        <f>($E$13*$E14)/365*('Pro Forma IS'!J$10)*(I$3+1)</f>
        <v>47088</v>
      </c>
      <c r="J14" s="29">
        <f>($E$13*$E14)/365*('Pro Forma IS'!K$10)*(J$3+1)</f>
        <v>48384.00000000001</v>
      </c>
      <c r="K14" s="29">
        <f aca="true" t="shared" si="0" ref="K14:K29">SUM(F14:J14)</f>
        <v>228960</v>
      </c>
      <c r="L14" s="34" t="s">
        <v>142</v>
      </c>
      <c r="M14" s="279" t="s">
        <v>387</v>
      </c>
    </row>
    <row r="15" spans="2:13" ht="9.75">
      <c r="B15" s="277" t="s">
        <v>213</v>
      </c>
      <c r="C15" s="277"/>
      <c r="D15" s="277"/>
      <c r="E15" s="171">
        <v>8</v>
      </c>
      <c r="F15" s="29">
        <f>($E$13*$E15)/365*('Pro Forma IS'!G$10)*(F$3+1)</f>
        <v>115200</v>
      </c>
      <c r="G15" s="29">
        <f>($E$13*$E15)/365*('Pro Forma IS'!H$10)*(G$3+1)</f>
        <v>118656</v>
      </c>
      <c r="H15" s="29">
        <f>($E$13*$E15)/365*('Pro Forma IS'!I$10)*(H$3+1)</f>
        <v>122112</v>
      </c>
      <c r="I15" s="29">
        <f>($E$13*$E15)/365*('Pro Forma IS'!J$10)*(I$3+1)</f>
        <v>125568.00000000001</v>
      </c>
      <c r="J15" s="29">
        <f>($E$13*$E15)/365*('Pro Forma IS'!K$10)*(J$3+1)</f>
        <v>129024.00000000001</v>
      </c>
      <c r="K15" s="29">
        <f t="shared" si="0"/>
        <v>610560</v>
      </c>
      <c r="M15" s="279" t="s">
        <v>387</v>
      </c>
    </row>
    <row r="16" spans="2:13" ht="9.75">
      <c r="B16" s="277" t="s">
        <v>214</v>
      </c>
      <c r="C16" s="277"/>
      <c r="D16" s="277"/>
      <c r="E16" s="171">
        <v>0</v>
      </c>
      <c r="F16" s="29">
        <f>($E$13*$E16)/365*('Pro Forma IS'!G$10)*(F$3+1)</f>
        <v>0</v>
      </c>
      <c r="G16" s="29">
        <f>($E$13*$E16)/365*('Pro Forma IS'!H$10)*(G$3+1)</f>
        <v>0</v>
      </c>
      <c r="H16" s="29">
        <f>($E$13*$E16)/365*('Pro Forma IS'!I$10)*(H$3+1)</f>
        <v>0</v>
      </c>
      <c r="I16" s="29">
        <f>($E$13*$E16)/365*('Pro Forma IS'!J$10)*(I$3+1)</f>
        <v>0</v>
      </c>
      <c r="J16" s="29">
        <f>($E$13*$E16)/365*('Pro Forma IS'!K$10)*(J$3+1)</f>
        <v>0</v>
      </c>
      <c r="K16" s="29">
        <f t="shared" si="0"/>
        <v>0</v>
      </c>
      <c r="M16" s="279" t="s">
        <v>387</v>
      </c>
    </row>
    <row r="17" spans="2:13" ht="9.75">
      <c r="B17" s="277" t="s">
        <v>215</v>
      </c>
      <c r="C17" s="277"/>
      <c r="D17" s="277"/>
      <c r="E17" s="171">
        <v>5</v>
      </c>
      <c r="F17" s="29">
        <f>($E$13*$E17)/365*('Pro Forma IS'!G$10)*(F$3+1)</f>
        <v>72000</v>
      </c>
      <c r="G17" s="29">
        <f>($E$13*$E17)/365*('Pro Forma IS'!H$10)*(G$3+1)</f>
        <v>74160</v>
      </c>
      <c r="H17" s="29">
        <f>($E$13*$E17)/365*('Pro Forma IS'!I$10)*(H$3+1)</f>
        <v>76320</v>
      </c>
      <c r="I17" s="29">
        <f>($E$13*$E17)/365*('Pro Forma IS'!J$10)*(I$3+1)</f>
        <v>78480</v>
      </c>
      <c r="J17" s="29">
        <f>($E$13*$E17)/365*('Pro Forma IS'!K$10)*(J$3+1)</f>
        <v>80640.00000000001</v>
      </c>
      <c r="K17" s="29">
        <f>SUM(F17:J17)</f>
        <v>381600</v>
      </c>
      <c r="M17" s="279" t="s">
        <v>387</v>
      </c>
    </row>
    <row r="18" spans="2:13" ht="9.75">
      <c r="B18" s="278" t="s">
        <v>136</v>
      </c>
      <c r="C18" s="277"/>
      <c r="D18" s="277"/>
      <c r="E18" s="171">
        <v>0</v>
      </c>
      <c r="F18" s="29">
        <f>($E$18*(F$8+F$9))*(F$3+1)</f>
        <v>0</v>
      </c>
      <c r="G18" s="29">
        <f>($E$18*(G$8+G$9))*(G$3+1)</f>
        <v>0</v>
      </c>
      <c r="H18" s="29">
        <f>($E$18*(H$8+H$9))*(H$3+1)</f>
        <v>0</v>
      </c>
      <c r="I18" s="29">
        <f>($E$18*(I$8+I$9))*(I$3+1)</f>
        <v>0</v>
      </c>
      <c r="J18" s="29">
        <f>($E$18*(J$8+J$9))*(J$3+1)</f>
        <v>0</v>
      </c>
      <c r="K18" s="29">
        <f t="shared" si="0"/>
        <v>0</v>
      </c>
      <c r="M18" s="89" t="s">
        <v>388</v>
      </c>
    </row>
    <row r="19" spans="2:13" ht="9.75">
      <c r="B19" s="278" t="s">
        <v>386</v>
      </c>
      <c r="C19" s="277"/>
      <c r="D19" s="277"/>
      <c r="E19" s="171">
        <v>2</v>
      </c>
      <c r="F19" s="29">
        <f>($E$19*(F$8+F$9))*(F$3+1)</f>
        <v>6570</v>
      </c>
      <c r="G19" s="29">
        <f>($E$19*(G$8+G$9))*(G$3+1)</f>
        <v>6767.1</v>
      </c>
      <c r="H19" s="29">
        <f>($E$19*(H$8+H$9))*(H$3+1)</f>
        <v>6964.200000000001</v>
      </c>
      <c r="I19" s="29">
        <f>($E$19*(I$8+I$9))*(I$3+1)</f>
        <v>7161.3</v>
      </c>
      <c r="J19" s="29">
        <f>($E$19*(J$8+J$9))*(J$3+1)</f>
        <v>7358.400000000001</v>
      </c>
      <c r="K19" s="29">
        <f t="shared" si="0"/>
        <v>34821</v>
      </c>
      <c r="M19" s="89" t="s">
        <v>388</v>
      </c>
    </row>
    <row r="20" spans="2:13" ht="9.75">
      <c r="B20" s="278" t="s">
        <v>197</v>
      </c>
      <c r="C20" s="277"/>
      <c r="D20" s="277"/>
      <c r="E20" s="171">
        <v>0</v>
      </c>
      <c r="F20" s="29">
        <f>($E$20*(F$8+F$9))*(F$3+1)</f>
        <v>0</v>
      </c>
      <c r="G20" s="29">
        <f>($E$20*(G$8+G$9))*(G$3+1)</f>
        <v>0</v>
      </c>
      <c r="H20" s="29">
        <f>($E$20*(H$8+H$9))*(H$3+1)</f>
        <v>0</v>
      </c>
      <c r="I20" s="29">
        <f>($E$20*(I$8+I$9))*(I$3+1)</f>
        <v>0</v>
      </c>
      <c r="J20" s="29">
        <f>($E$20*(J$8+J$9))*(J$3+1)</f>
        <v>0</v>
      </c>
      <c r="K20" s="29">
        <f t="shared" si="0"/>
        <v>0</v>
      </c>
      <c r="M20" s="89" t="s">
        <v>388</v>
      </c>
    </row>
    <row r="21" spans="2:13" ht="9.75">
      <c r="B21" s="144" t="s">
        <v>206</v>
      </c>
      <c r="E21" s="287">
        <f>'Loan Payment Calc'!D9*12</f>
        <v>0</v>
      </c>
      <c r="F21" s="29">
        <f>$E21*('Pro Forma IS'!G$10/365)*(1)</f>
        <v>0</v>
      </c>
      <c r="G21" s="29">
        <f>$E21*('Pro Forma IS'!H$10/365)*(1)</f>
        <v>0</v>
      </c>
      <c r="H21" s="29">
        <f>$E21*('Pro Forma IS'!I$10/365)*(1)</f>
        <v>0</v>
      </c>
      <c r="I21" s="29">
        <f>$E21*('Pro Forma IS'!J$10/365)*(1)</f>
        <v>0</v>
      </c>
      <c r="J21" s="29">
        <f>$E21*('Pro Forma IS'!K$10/365)*(1)</f>
        <v>0</v>
      </c>
      <c r="K21" s="29">
        <f t="shared" si="0"/>
        <v>0</v>
      </c>
      <c r="L21" s="34" t="s">
        <v>142</v>
      </c>
      <c r="M21" s="281" t="s">
        <v>384</v>
      </c>
    </row>
    <row r="22" spans="2:13" ht="9.75">
      <c r="B22" s="144" t="s">
        <v>315</v>
      </c>
      <c r="E22" s="143">
        <f>'Extra Loan Payment Calc'!$D$9*12</f>
        <v>0</v>
      </c>
      <c r="F22" s="29">
        <f>$E22*('Pro Forma IS'!G$10/365)*(1)</f>
        <v>0</v>
      </c>
      <c r="G22" s="29">
        <f>$E22*('Pro Forma IS'!H$10/365)*(1)</f>
        <v>0</v>
      </c>
      <c r="H22" s="29">
        <f>$E22*('Pro Forma IS'!I$10/365)*(1)</f>
        <v>0</v>
      </c>
      <c r="I22" s="29">
        <f>$E22*('Pro Forma IS'!J$10/365)*(1)</f>
        <v>0</v>
      </c>
      <c r="J22" s="29">
        <f>$E22*('Pro Forma IS'!K$10/365)*(1)</f>
        <v>0</v>
      </c>
      <c r="K22" s="29">
        <f t="shared" si="0"/>
        <v>0</v>
      </c>
      <c r="L22" s="34" t="s">
        <v>142</v>
      </c>
      <c r="M22" s="281" t="s">
        <v>384</v>
      </c>
    </row>
    <row r="23" spans="2:13" ht="9.75">
      <c r="B23" s="277" t="s">
        <v>188</v>
      </c>
      <c r="C23" s="277"/>
      <c r="D23" s="277"/>
      <c r="E23" s="171">
        <v>25000</v>
      </c>
      <c r="F23" s="29">
        <f>$E23*('Pro Forma IS'!G$10/365)*(F$3+1)</f>
        <v>25000</v>
      </c>
      <c r="G23" s="29">
        <f>$E23*('Pro Forma IS'!H$10/365)*(G$3+1)</f>
        <v>25750</v>
      </c>
      <c r="H23" s="29">
        <f>$E23*('Pro Forma IS'!I$10/365)*(H$3+1)</f>
        <v>26500</v>
      </c>
      <c r="I23" s="29">
        <f>$E23*('Pro Forma IS'!J$10/365)*(I$3+1)</f>
        <v>27250.000000000004</v>
      </c>
      <c r="J23" s="29">
        <f>$E23*('Pro Forma IS'!K$10/365)*(J$3+1)</f>
        <v>28000.000000000004</v>
      </c>
      <c r="K23" s="29">
        <f t="shared" si="0"/>
        <v>132500</v>
      </c>
      <c r="M23" s="281" t="s">
        <v>384</v>
      </c>
    </row>
    <row r="24" spans="2:13" ht="9.75">
      <c r="B24" s="277" t="s">
        <v>198</v>
      </c>
      <c r="C24" s="277"/>
      <c r="D24" s="277"/>
      <c r="E24" s="171">
        <v>0</v>
      </c>
      <c r="F24" s="29">
        <f>$E24*('Pro Forma IS'!G$10/365)*(F$3+1)</f>
        <v>0</v>
      </c>
      <c r="G24" s="29">
        <f>$E24*('Pro Forma IS'!H$10/365)*(G$3+1)</f>
        <v>0</v>
      </c>
      <c r="H24" s="29">
        <f>$E24*('Pro Forma IS'!I$10/365)*(H$3+1)</f>
        <v>0</v>
      </c>
      <c r="I24" s="29">
        <f>$E24*('Pro Forma IS'!J$10/365)*(I$3+1)</f>
        <v>0</v>
      </c>
      <c r="J24" s="29">
        <f>$E24*('Pro Forma IS'!K$10/365)*(J$3+1)</f>
        <v>0</v>
      </c>
      <c r="K24" s="29">
        <f t="shared" si="0"/>
        <v>0</v>
      </c>
      <c r="M24" s="101" t="s">
        <v>385</v>
      </c>
    </row>
    <row r="25" spans="2:13" ht="9.75">
      <c r="B25" s="277" t="s">
        <v>81</v>
      </c>
      <c r="C25" s="277"/>
      <c r="D25" s="277"/>
      <c r="E25" s="171">
        <v>12000</v>
      </c>
      <c r="F25" s="29">
        <f>$E25*('Pro Forma IS'!G$10/365)*(F$3+1)</f>
        <v>12000</v>
      </c>
      <c r="G25" s="29">
        <f>$E25*('Pro Forma IS'!H$10/365)*(G$3+1)</f>
        <v>12360</v>
      </c>
      <c r="H25" s="29">
        <f>$E25*('Pro Forma IS'!I$10/365)*(H$3+1)</f>
        <v>12720</v>
      </c>
      <c r="I25" s="29">
        <f>$E25*('Pro Forma IS'!J$10/365)*(I$3+1)</f>
        <v>13080.000000000002</v>
      </c>
      <c r="J25" s="29">
        <f>$E25*('Pro Forma IS'!K$10/365)*(J$3+1)</f>
        <v>13440.000000000002</v>
      </c>
      <c r="K25" s="29">
        <f t="shared" si="0"/>
        <v>63600</v>
      </c>
      <c r="M25" s="281" t="s">
        <v>384</v>
      </c>
    </row>
    <row r="26" spans="2:13" ht="9.75">
      <c r="B26" s="277" t="s">
        <v>144</v>
      </c>
      <c r="C26" s="277"/>
      <c r="D26" s="277"/>
      <c r="E26" s="171">
        <v>20000</v>
      </c>
      <c r="F26" s="29">
        <f>$E26*('Pro Forma IS'!G$10/365)*(F$3+1)</f>
        <v>20000</v>
      </c>
      <c r="G26" s="29">
        <f>$E26*('Pro Forma IS'!H$10/365)*(G$3+1)</f>
        <v>20600</v>
      </c>
      <c r="H26" s="29">
        <f>$E26*('Pro Forma IS'!I$10/365)*(H$3+1)</f>
        <v>21200</v>
      </c>
      <c r="I26" s="29">
        <f>$E26*('Pro Forma IS'!J$10/365)*(I$3+1)</f>
        <v>21800</v>
      </c>
      <c r="J26" s="29">
        <f>$E26*('Pro Forma IS'!K$10/365)*(J$3+1)</f>
        <v>22400.000000000004</v>
      </c>
      <c r="K26" s="29">
        <f t="shared" si="0"/>
        <v>106000</v>
      </c>
      <c r="M26" s="281" t="s">
        <v>384</v>
      </c>
    </row>
    <row r="27" spans="2:13" ht="9.75">
      <c r="B27" s="208" t="s">
        <v>74</v>
      </c>
      <c r="C27" s="208"/>
      <c r="D27" s="208"/>
      <c r="E27" s="171">
        <v>0</v>
      </c>
      <c r="F27" s="29">
        <f>$E27*('Pro Forma IS'!G$10/365)*(F$3+1)</f>
        <v>0</v>
      </c>
      <c r="G27" s="29">
        <f>$E27*('Pro Forma IS'!H$10/365)*(G$3+1)</f>
        <v>0</v>
      </c>
      <c r="H27" s="29">
        <f>$E27*('Pro Forma IS'!I$10/365)*(H$3+1)</f>
        <v>0</v>
      </c>
      <c r="I27" s="29">
        <f>$E27*('Pro Forma IS'!J$10/365)*(I$3+1)</f>
        <v>0</v>
      </c>
      <c r="J27" s="29">
        <f>$E27*('Pro Forma IS'!K$10/365)*(J$3+1)</f>
        <v>0</v>
      </c>
      <c r="K27" s="29">
        <f t="shared" si="0"/>
        <v>0</v>
      </c>
      <c r="M27" s="281" t="s">
        <v>384</v>
      </c>
    </row>
    <row r="28" spans="2:13" ht="9.75">
      <c r="B28" s="208" t="s">
        <v>259</v>
      </c>
      <c r="C28" s="208"/>
      <c r="D28" s="208"/>
      <c r="E28" s="171">
        <v>75000</v>
      </c>
      <c r="F28" s="29">
        <f>$E28*('Pro Forma IS'!G$10/365)*(F$3+1)</f>
        <v>75000</v>
      </c>
      <c r="G28" s="29">
        <f>$E28*('Pro Forma IS'!H$10/365)*(G$3+1)</f>
        <v>77250</v>
      </c>
      <c r="H28" s="29">
        <f>$E28*('Pro Forma IS'!I$10/365)*(H$3+1)</f>
        <v>79500</v>
      </c>
      <c r="I28" s="29">
        <f>$E28*('Pro Forma IS'!J$10/365)*(I$3+1)</f>
        <v>81750</v>
      </c>
      <c r="J28" s="29">
        <f>$E28*('Pro Forma IS'!K$10/365)*(J$3+1)</f>
        <v>84000.00000000001</v>
      </c>
      <c r="K28" s="29">
        <f t="shared" si="0"/>
        <v>397500</v>
      </c>
      <c r="M28" s="281" t="s">
        <v>384</v>
      </c>
    </row>
    <row r="29" spans="2:13" ht="9.75">
      <c r="B29" s="277" t="s">
        <v>262</v>
      </c>
      <c r="C29" s="277"/>
      <c r="D29" s="277"/>
      <c r="E29" s="171">
        <v>100000</v>
      </c>
      <c r="F29" s="29">
        <f>$E29*('Pro Forma IS'!G$10/365)*(F$3+1)</f>
        <v>100000</v>
      </c>
      <c r="G29" s="29">
        <f>$E29*('Pro Forma IS'!H$10/365)*(G$3+1)</f>
        <v>103000</v>
      </c>
      <c r="H29" s="29">
        <f>$E29*('Pro Forma IS'!I$10/365)*(H$3+1)</f>
        <v>106000</v>
      </c>
      <c r="I29" s="29">
        <f>$E29*('Pro Forma IS'!J$10/365)*(I$3+1)</f>
        <v>109000.00000000001</v>
      </c>
      <c r="J29" s="29">
        <f>$E29*('Pro Forma IS'!K$10/365)*(J$3+1)</f>
        <v>112000.00000000001</v>
      </c>
      <c r="K29" s="29">
        <f t="shared" si="0"/>
        <v>530000</v>
      </c>
      <c r="M29" s="281" t="s">
        <v>384</v>
      </c>
    </row>
    <row r="30" spans="6:11" ht="9.75">
      <c r="F30" s="29"/>
      <c r="G30" s="29"/>
      <c r="H30" s="29"/>
      <c r="I30" s="29"/>
      <c r="J30" s="29"/>
      <c r="K30" s="29"/>
    </row>
    <row r="31" spans="3:11" ht="10.5" thickBot="1">
      <c r="C31" s="34" t="s">
        <v>0</v>
      </c>
      <c r="F31" s="33">
        <f>SUM(F13:F30)</f>
        <v>468970</v>
      </c>
      <c r="G31" s="33">
        <f>SUM(G13:G30)</f>
        <v>483039.1</v>
      </c>
      <c r="H31" s="33">
        <f>SUM(H13:H30)</f>
        <v>497108.2</v>
      </c>
      <c r="I31" s="33">
        <f>SUM(I13:I30)</f>
        <v>511177.3</v>
      </c>
      <c r="J31" s="33">
        <f>SUM(J13:J30)</f>
        <v>525246.4000000001</v>
      </c>
      <c r="K31" s="33">
        <f>SUM(F31:J31)</f>
        <v>2485541</v>
      </c>
    </row>
    <row r="32" spans="6:11" ht="10.5" thickTop="1">
      <c r="F32" s="29"/>
      <c r="G32" s="29"/>
      <c r="H32" s="29"/>
      <c r="I32" s="29"/>
      <c r="J32" s="29"/>
      <c r="K32" s="29"/>
    </row>
    <row r="33" spans="2:12" ht="10.5">
      <c r="B33" s="144" t="s">
        <v>80</v>
      </c>
      <c r="D33" s="103"/>
      <c r="E33" s="145">
        <f>'Construction Costs &amp; Depr'!$H$20</f>
        <v>67944.44444444444</v>
      </c>
      <c r="F33" s="29">
        <f>$E33*('Pro Forma IS'!G$10/365)</f>
        <v>67944.44444444444</v>
      </c>
      <c r="G33" s="29">
        <f>$E33*('Pro Forma IS'!H$10/365)</f>
        <v>67944.44444444444</v>
      </c>
      <c r="H33" s="29">
        <f>$E33*('Pro Forma IS'!I$10/365)</f>
        <v>67944.44444444444</v>
      </c>
      <c r="I33" s="29">
        <f>$E33*('Pro Forma IS'!J$10/365)</f>
        <v>67944.44444444444</v>
      </c>
      <c r="J33" s="29">
        <f>$E33*('Pro Forma IS'!K$10/365)</f>
        <v>67944.44444444444</v>
      </c>
      <c r="K33" s="29">
        <f>SUM(F33:J33)</f>
        <v>339722.2222222222</v>
      </c>
      <c r="L33" s="34" t="s">
        <v>142</v>
      </c>
    </row>
    <row r="36" spans="4:5" ht="9.75">
      <c r="D36" s="146" t="s">
        <v>142</v>
      </c>
      <c r="E36" s="34" t="s">
        <v>143</v>
      </c>
    </row>
    <row r="37" ht="9.75">
      <c r="E37" s="144" t="s">
        <v>207</v>
      </c>
    </row>
    <row r="38" ht="9.75">
      <c r="E38" s="144" t="s">
        <v>316</v>
      </c>
    </row>
    <row r="39" ht="9.75">
      <c r="E39" s="144" t="s">
        <v>208</v>
      </c>
    </row>
    <row r="40" ht="9.75">
      <c r="E40" s="144" t="s">
        <v>317</v>
      </c>
    </row>
    <row r="41" ht="9.75">
      <c r="E41" s="144"/>
    </row>
    <row r="43" ht="9.75">
      <c r="C43" s="148" t="str">
        <f>Reserved</f>
        <v>This product was created by Multi-View Incorporated.  It is reserved for the exclusive use of MVI clients. Need help?  828-698-5885</v>
      </c>
    </row>
    <row r="46" ht="12">
      <c r="D46" s="42"/>
    </row>
    <row r="47" ht="12">
      <c r="D47" s="42"/>
    </row>
    <row r="48" ht="12">
      <c r="D48" s="42"/>
    </row>
    <row r="49" ht="12">
      <c r="D49" s="42"/>
    </row>
    <row r="50" ht="12">
      <c r="D50" s="42"/>
    </row>
    <row r="51" ht="12">
      <c r="D51" s="42"/>
    </row>
    <row r="52" ht="12">
      <c r="D52" s="42"/>
    </row>
    <row r="53" ht="12">
      <c r="D53" s="42"/>
    </row>
    <row r="54" ht="12">
      <c r="D54" s="42"/>
    </row>
    <row r="55" ht="12">
      <c r="D55" s="42"/>
    </row>
    <row r="56" ht="12">
      <c r="D56" s="42"/>
    </row>
    <row r="57" ht="12">
      <c r="D57" s="42"/>
    </row>
    <row r="58" ht="12">
      <c r="D58" s="42"/>
    </row>
    <row r="59" ht="12">
      <c r="D59" s="42"/>
    </row>
    <row r="60" ht="12">
      <c r="D60" s="42"/>
    </row>
    <row r="61" ht="12">
      <c r="D61" s="42"/>
    </row>
    <row r="62" ht="12">
      <c r="D62" s="42"/>
    </row>
    <row r="63" ht="12">
      <c r="D63" s="42"/>
    </row>
    <row r="64" ht="12">
      <c r="D64" s="42"/>
    </row>
    <row r="65" ht="12">
      <c r="D65" s="42"/>
    </row>
    <row r="66" ht="12">
      <c r="D66" s="42"/>
    </row>
    <row r="67" ht="12">
      <c r="D67" s="42"/>
    </row>
    <row r="68" ht="12">
      <c r="D68" s="42"/>
    </row>
  </sheetData>
  <sheetProtection password="DFAD" sheet="1" objects="1" scenarios="1"/>
  <printOptions/>
  <pageMargins left="0.75" right="0.75" top="1" bottom="1" header="0.5" footer="0.5"/>
  <pageSetup horizontalDpi="300" verticalDpi="300" orientation="landscape" scale="90" r:id="rId2"/>
  <headerFooter alignWithMargins="0">
    <oddFooter>&amp;L&amp;f  &amp;A</oddFooter>
  </headerFooter>
  <drawing r:id="rId1"/>
</worksheet>
</file>

<file path=xl/worksheets/sheet14.xml><?xml version="1.0" encoding="utf-8"?>
<worksheet xmlns="http://schemas.openxmlformats.org/spreadsheetml/2006/main" xmlns:r="http://schemas.openxmlformats.org/officeDocument/2006/relationships">
  <sheetPr>
    <tabColor indexed="18"/>
  </sheetPr>
  <dimension ref="A1:H20"/>
  <sheetViews>
    <sheetView showGridLines="0" zoomScale="75" zoomScaleNormal="75" zoomScalePageLayoutView="0" workbookViewId="0" topLeftCell="A1">
      <selection activeCell="D4" sqref="D4"/>
    </sheetView>
  </sheetViews>
  <sheetFormatPr defaultColWidth="9.140625" defaultRowHeight="12.75"/>
  <cols>
    <col min="1" max="1" width="3.00390625" style="42" customWidth="1"/>
    <col min="2" max="2" width="3.8515625" style="42" customWidth="1"/>
    <col min="3" max="3" width="46.00390625" style="42" customWidth="1"/>
    <col min="4" max="4" width="48.8515625" style="42" customWidth="1"/>
    <col min="5" max="5" width="9.140625" style="42" customWidth="1"/>
    <col min="6" max="6" width="10.28125" style="42" customWidth="1"/>
    <col min="7" max="7" width="14.140625" style="42" customWidth="1"/>
    <col min="8" max="16384" width="9.140625" style="42" customWidth="1"/>
  </cols>
  <sheetData>
    <row r="1" spans="1:8" ht="24.75">
      <c r="A1" s="158" t="s">
        <v>141</v>
      </c>
      <c r="F1" s="43" t="s">
        <v>160</v>
      </c>
      <c r="G1" s="44" t="str">
        <f>Name</f>
        <v>Sunny Day Hospice</v>
      </c>
      <c r="H1" s="45"/>
    </row>
    <row r="2" spans="1:8" ht="24.75">
      <c r="A2" s="159"/>
      <c r="B2" s="159"/>
      <c r="C2" s="159"/>
      <c r="D2" s="159"/>
      <c r="E2" s="159"/>
      <c r="F2" s="43" t="s">
        <v>161</v>
      </c>
      <c r="G2" s="44" t="str">
        <f>CON.Number</f>
        <v>XX-XXX</v>
      </c>
      <c r="H2" s="45"/>
    </row>
    <row r="3" spans="2:8" ht="24.75">
      <c r="B3" s="159"/>
      <c r="C3" s="160" t="s">
        <v>119</v>
      </c>
      <c r="D3" s="205">
        <v>0</v>
      </c>
      <c r="E3" s="159"/>
      <c r="F3" s="43" t="s">
        <v>162</v>
      </c>
      <c r="G3" s="11" t="s">
        <v>164</v>
      </c>
      <c r="H3" s="47" t="str">
        <f>state</f>
        <v>GA</v>
      </c>
    </row>
    <row r="4" spans="2:8" ht="24.75">
      <c r="B4" s="159"/>
      <c r="C4" s="160" t="s">
        <v>120</v>
      </c>
      <c r="D4" s="206">
        <v>0.029</v>
      </c>
      <c r="E4" s="159"/>
      <c r="F4" s="43" t="s">
        <v>163</v>
      </c>
      <c r="G4" s="12">
        <v>1</v>
      </c>
      <c r="H4" s="49" t="str">
        <f>Submission.Date</f>
        <v>3/30/17</v>
      </c>
    </row>
    <row r="5" spans="2:6" ht="24.75">
      <c r="B5" s="159"/>
      <c r="C5" s="160" t="s">
        <v>121</v>
      </c>
      <c r="D5" s="207">
        <f>10*12</f>
        <v>120</v>
      </c>
      <c r="E5" s="159"/>
      <c r="F5" s="159"/>
    </row>
    <row r="6" spans="4:6" ht="24.75">
      <c r="D6" s="159"/>
      <c r="E6" s="159"/>
      <c r="F6" s="159"/>
    </row>
    <row r="7" spans="2:6" ht="24.75">
      <c r="B7" s="159"/>
      <c r="C7" s="159"/>
      <c r="D7" s="159"/>
      <c r="E7" s="159"/>
      <c r="F7" s="159"/>
    </row>
    <row r="8" spans="2:6" ht="24.75">
      <c r="B8" s="159"/>
      <c r="C8" s="159"/>
      <c r="D8" s="159"/>
      <c r="E8" s="159"/>
      <c r="F8" s="159"/>
    </row>
    <row r="9" spans="2:6" ht="24.75">
      <c r="B9" s="159"/>
      <c r="C9" s="160" t="s">
        <v>122</v>
      </c>
      <c r="D9" s="161">
        <f>-PMT(D16,D5,D3,0,1)</f>
        <v>0</v>
      </c>
      <c r="E9" s="159"/>
      <c r="F9" s="159"/>
    </row>
    <row r="10" spans="2:6" ht="24.75">
      <c r="B10" s="159"/>
      <c r="C10" s="159"/>
      <c r="D10" s="159"/>
      <c r="E10" s="159"/>
      <c r="F10" s="159"/>
    </row>
    <row r="11" spans="2:6" ht="24.75">
      <c r="B11" s="159"/>
      <c r="C11" s="160" t="s">
        <v>123</v>
      </c>
      <c r="D11" s="161">
        <f>D9*D5</f>
        <v>0</v>
      </c>
      <c r="E11" s="159"/>
      <c r="F11" s="159"/>
    </row>
    <row r="12" spans="2:6" ht="24.75">
      <c r="B12" s="159"/>
      <c r="C12" s="159"/>
      <c r="D12" s="159"/>
      <c r="E12" s="159"/>
      <c r="F12" s="159"/>
    </row>
    <row r="13" spans="2:6" ht="24.75">
      <c r="B13" s="159"/>
      <c r="C13" s="160" t="s">
        <v>124</v>
      </c>
      <c r="D13" s="161">
        <f>D11-D3</f>
        <v>0</v>
      </c>
      <c r="E13" s="159"/>
      <c r="F13" s="159"/>
    </row>
    <row r="14" spans="2:6" ht="24.75">
      <c r="B14" s="159"/>
      <c r="C14" s="159"/>
      <c r="D14" s="159"/>
      <c r="E14" s="159"/>
      <c r="F14" s="159"/>
    </row>
    <row r="15" spans="2:6" ht="24.75">
      <c r="B15" s="159"/>
      <c r="C15" s="159"/>
      <c r="D15" s="159"/>
      <c r="E15" s="159"/>
      <c r="F15" s="159"/>
    </row>
    <row r="16" spans="2:6" ht="24.75">
      <c r="B16" s="159"/>
      <c r="C16" s="159" t="s">
        <v>139</v>
      </c>
      <c r="D16" s="162">
        <f>D4/12</f>
        <v>0.002416666666666667</v>
      </c>
      <c r="E16" s="159"/>
      <c r="F16" s="159"/>
    </row>
    <row r="20" ht="12.75">
      <c r="B20" s="163" t="str">
        <f>Reserved</f>
        <v>This product was created by Multi-View Incorporated.  It is reserved for the exclusive use of MVI clients. Need help?  828-698-5885</v>
      </c>
    </row>
  </sheetData>
  <sheetProtection password="DFAD" sheet="1" objects="1" scenarios="1"/>
  <printOptions/>
  <pageMargins left="0.25" right="0.25" top="1" bottom="1" header="0.5" footer="0.5"/>
  <pageSetup horizontalDpi="600" verticalDpi="600" orientation="portrait" scale="55" r:id="rId1"/>
  <headerFooter alignWithMargins="0">
    <oddFooter>&amp;R&amp;F &amp;A</oddFooter>
  </headerFooter>
</worksheet>
</file>

<file path=xl/worksheets/sheet15.xml><?xml version="1.0" encoding="utf-8"?>
<worksheet xmlns="http://schemas.openxmlformats.org/spreadsheetml/2006/main" xmlns:r="http://schemas.openxmlformats.org/officeDocument/2006/relationships">
  <sheetPr>
    <tabColor rgb="FF1D4779"/>
  </sheetPr>
  <dimension ref="A1:H20"/>
  <sheetViews>
    <sheetView showGridLines="0" zoomScale="75" zoomScaleNormal="75" zoomScalePageLayoutView="0" workbookViewId="0" topLeftCell="A1">
      <selection activeCell="D4" sqref="D4"/>
    </sheetView>
  </sheetViews>
  <sheetFormatPr defaultColWidth="9.140625" defaultRowHeight="12.75"/>
  <cols>
    <col min="1" max="1" width="3.00390625" style="42" customWidth="1"/>
    <col min="2" max="2" width="3.8515625" style="42" customWidth="1"/>
    <col min="3" max="3" width="46.00390625" style="42" customWidth="1"/>
    <col min="4" max="4" width="48.8515625" style="42" customWidth="1"/>
    <col min="5" max="6" width="9.140625" style="42" customWidth="1"/>
    <col min="7" max="7" width="14.140625" style="42" customWidth="1"/>
    <col min="8" max="16384" width="9.140625" style="42" customWidth="1"/>
  </cols>
  <sheetData>
    <row r="1" spans="1:8" ht="24.75">
      <c r="A1" s="158" t="s">
        <v>141</v>
      </c>
      <c r="F1" s="43" t="s">
        <v>160</v>
      </c>
      <c r="G1" s="44" t="str">
        <f>Name</f>
        <v>Sunny Day Hospice</v>
      </c>
      <c r="H1" s="45"/>
    </row>
    <row r="2" spans="1:8" ht="24.75">
      <c r="A2" s="159"/>
      <c r="B2" s="159"/>
      <c r="C2" s="159"/>
      <c r="D2" s="159"/>
      <c r="E2" s="159"/>
      <c r="F2" s="43" t="s">
        <v>161</v>
      </c>
      <c r="G2" s="44" t="str">
        <f>CON.Number</f>
        <v>XX-XXX</v>
      </c>
      <c r="H2" s="45"/>
    </row>
    <row r="3" spans="2:8" ht="24.75">
      <c r="B3" s="159"/>
      <c r="C3" s="160" t="s">
        <v>119</v>
      </c>
      <c r="D3" s="205">
        <v>0</v>
      </c>
      <c r="E3" s="159"/>
      <c r="F3" s="43" t="s">
        <v>162</v>
      </c>
      <c r="G3" s="11" t="s">
        <v>164</v>
      </c>
      <c r="H3" s="47" t="str">
        <f>state</f>
        <v>GA</v>
      </c>
    </row>
    <row r="4" spans="2:8" ht="24.75">
      <c r="B4" s="159"/>
      <c r="C4" s="160" t="s">
        <v>120</v>
      </c>
      <c r="D4" s="206">
        <v>0.05</v>
      </c>
      <c r="E4" s="159"/>
      <c r="F4" s="43" t="s">
        <v>163</v>
      </c>
      <c r="G4" s="12">
        <v>1</v>
      </c>
      <c r="H4" s="49" t="str">
        <f>Submission.Date</f>
        <v>3/30/17</v>
      </c>
    </row>
    <row r="5" spans="2:6" ht="24.75">
      <c r="B5" s="159"/>
      <c r="C5" s="160" t="s">
        <v>121</v>
      </c>
      <c r="D5" s="207">
        <f>12*5</f>
        <v>60</v>
      </c>
      <c r="E5" s="159"/>
      <c r="F5" s="159"/>
    </row>
    <row r="6" spans="4:6" ht="24.75">
      <c r="D6" s="159"/>
      <c r="E6" s="159"/>
      <c r="F6" s="159"/>
    </row>
    <row r="7" spans="2:6" ht="24.75">
      <c r="B7" s="159"/>
      <c r="C7" s="159"/>
      <c r="D7" s="159"/>
      <c r="E7" s="159"/>
      <c r="F7" s="159"/>
    </row>
    <row r="8" spans="2:6" ht="24.75">
      <c r="B8" s="159"/>
      <c r="C8" s="159"/>
      <c r="D8" s="159"/>
      <c r="E8" s="159"/>
      <c r="F8" s="159"/>
    </row>
    <row r="9" spans="2:6" ht="24.75">
      <c r="B9" s="159"/>
      <c r="C9" s="160" t="s">
        <v>122</v>
      </c>
      <c r="D9" s="161">
        <f>-PMT(D16,D5,D3,0,1)</f>
        <v>0</v>
      </c>
      <c r="E9" s="159"/>
      <c r="F9" s="159"/>
    </row>
    <row r="10" spans="2:6" ht="24.75">
      <c r="B10" s="159"/>
      <c r="C10" s="159"/>
      <c r="D10" s="159"/>
      <c r="E10" s="159"/>
      <c r="F10" s="159"/>
    </row>
    <row r="11" spans="2:6" ht="24.75">
      <c r="B11" s="159"/>
      <c r="C11" s="160" t="s">
        <v>123</v>
      </c>
      <c r="D11" s="161">
        <f>D9*D5</f>
        <v>0</v>
      </c>
      <c r="E11" s="159"/>
      <c r="F11" s="159"/>
    </row>
    <row r="12" spans="2:6" ht="24.75">
      <c r="B12" s="159"/>
      <c r="C12" s="159"/>
      <c r="D12" s="159"/>
      <c r="E12" s="159"/>
      <c r="F12" s="159"/>
    </row>
    <row r="13" spans="2:6" ht="24.75">
      <c r="B13" s="159"/>
      <c r="C13" s="160" t="s">
        <v>124</v>
      </c>
      <c r="D13" s="161">
        <f>D11-D3</f>
        <v>0</v>
      </c>
      <c r="E13" s="159"/>
      <c r="F13" s="159"/>
    </row>
    <row r="14" spans="2:6" ht="24.75">
      <c r="B14" s="159"/>
      <c r="C14" s="159"/>
      <c r="D14" s="159"/>
      <c r="E14" s="159"/>
      <c r="F14" s="159"/>
    </row>
    <row r="15" spans="2:6" ht="24.75">
      <c r="B15" s="159"/>
      <c r="C15" s="159"/>
      <c r="D15" s="159"/>
      <c r="E15" s="159"/>
      <c r="F15" s="159"/>
    </row>
    <row r="16" spans="2:6" ht="24.75">
      <c r="B16" s="159"/>
      <c r="C16" s="159" t="s">
        <v>139</v>
      </c>
      <c r="D16" s="162">
        <f>D4/12</f>
        <v>0.004166666666666667</v>
      </c>
      <c r="E16" s="159"/>
      <c r="F16" s="159"/>
    </row>
    <row r="20" ht="12.75">
      <c r="B20" s="163" t="str">
        <f>Reserved</f>
        <v>This product was created by Multi-View Incorporated.  It is reserved for the exclusive use of MVI clients. Need help?  828-698-5885</v>
      </c>
    </row>
  </sheetData>
  <sheetProtection password="DFAD" sheet="1" objects="1" scenarios="1"/>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rgb="FF00B050"/>
  </sheetPr>
  <dimension ref="A1:Q68"/>
  <sheetViews>
    <sheetView showGridLines="0" zoomScalePageLayoutView="0" workbookViewId="0" topLeftCell="A1">
      <pane xSplit="5" ySplit="3" topLeftCell="F22" activePane="bottomRight" state="frozen"/>
      <selection pane="topLeft" activeCell="A1" sqref="A1"/>
      <selection pane="topRight" activeCell="F1" sqref="F1"/>
      <selection pane="bottomLeft" activeCell="A4" sqref="A4"/>
      <selection pane="bottomRight" activeCell="A49" sqref="A49"/>
    </sheetView>
  </sheetViews>
  <sheetFormatPr defaultColWidth="9.140625" defaultRowHeight="12.75"/>
  <cols>
    <col min="1" max="1" width="1.28515625" style="34" customWidth="1"/>
    <col min="2" max="2" width="3.7109375" style="34" customWidth="1"/>
    <col min="3" max="3" width="3.28125" style="34" customWidth="1"/>
    <col min="4" max="4" width="2.7109375" style="34" customWidth="1"/>
    <col min="5" max="5" width="6.8515625" style="34" customWidth="1"/>
    <col min="6" max="6" width="8.421875" style="34" customWidth="1"/>
    <col min="7" max="7" width="12.7109375" style="34" customWidth="1"/>
    <col min="8" max="9" width="11.57421875" style="34" customWidth="1"/>
    <col min="10" max="10" width="12.28125" style="34" customWidth="1"/>
    <col min="11" max="12" width="13.28125" style="34" customWidth="1"/>
    <col min="13" max="13" width="3.421875" style="34" customWidth="1"/>
    <col min="14" max="14" width="4.57421875" style="29" customWidth="1"/>
    <col min="15" max="15" width="26.28125" style="34" customWidth="1"/>
    <col min="16" max="16384" width="9.140625" style="34" customWidth="1"/>
  </cols>
  <sheetData>
    <row r="1" ht="10.5">
      <c r="A1" s="85" t="s">
        <v>199</v>
      </c>
    </row>
    <row r="2" spans="7:14" s="86" customFormat="1" ht="10.5">
      <c r="G2" s="95" t="str">
        <f>'Pro Forma IS'!G$2</f>
        <v>Year 1</v>
      </c>
      <c r="H2" s="95" t="str">
        <f>'Pro Forma IS'!H$2</f>
        <v>Year 2</v>
      </c>
      <c r="I2" s="95" t="str">
        <f>'Pro Forma IS'!I$2</f>
        <v>Year 3</v>
      </c>
      <c r="J2" s="95" t="str">
        <f>'Pro Forma IS'!J$2</f>
        <v>Year 4</v>
      </c>
      <c r="K2" s="95" t="str">
        <f>'Pro Forma IS'!K$2</f>
        <v>Year 5</v>
      </c>
      <c r="L2" s="35" t="s">
        <v>0</v>
      </c>
      <c r="N2" s="96"/>
    </row>
    <row r="3" ht="10.5">
      <c r="A3" s="85" t="s">
        <v>1</v>
      </c>
    </row>
    <row r="5" spans="1:11" ht="10.5">
      <c r="A5" s="85" t="s">
        <v>200</v>
      </c>
      <c r="G5" s="88">
        <v>0</v>
      </c>
      <c r="H5" s="40">
        <f>G62</f>
        <v>346582.3035213677</v>
      </c>
      <c r="I5" s="40">
        <f>H62</f>
        <v>882437.392452951</v>
      </c>
      <c r="J5" s="40">
        <f>I62</f>
        <v>1343930.1849063202</v>
      </c>
      <c r="K5" s="40">
        <f>J62</f>
        <v>1727835.2600774756</v>
      </c>
    </row>
    <row r="6" spans="15:16" ht="10.5">
      <c r="O6" s="97" t="s">
        <v>225</v>
      </c>
      <c r="P6" s="98"/>
    </row>
    <row r="7" ht="10.5">
      <c r="A7" s="85" t="s">
        <v>201</v>
      </c>
    </row>
    <row r="8" spans="2:16" ht="9.75">
      <c r="B8" s="34" t="str">
        <f>Revenue!B15</f>
        <v>MCR IP </v>
      </c>
      <c r="G8" s="29">
        <f>(Revenue!F15/'Pro Forma IS'!G$10)*('Pro Forma IS'!G$10-$P8)</f>
        <v>2340485.54</v>
      </c>
      <c r="H8" s="29">
        <f>((Revenue!F15/'Pro Forma IS'!G$10)*$P8)+(Revenue!G15/'Pro Forma IS'!H$10)*('Pro Forma IS'!H$10-$P8)</f>
        <v>2573486.1154000005</v>
      </c>
      <c r="I8" s="29">
        <f>((Revenue!G15/'Pro Forma IS'!H$10)*$P8)+(Revenue!H15/'Pro Forma IS'!I$10)*('Pro Forma IS'!I$10-$P8)</f>
        <v>2575582.0726</v>
      </c>
      <c r="J8" s="29">
        <f>((Revenue!H15/'Pro Forma IS'!I$10)*$P8)+(Revenue!I15/'Pro Forma IS'!J$10)*('Pro Forma IS'!J$10-$P8)</f>
        <v>2575582.0726</v>
      </c>
      <c r="K8" s="29">
        <f>((Revenue!I15/'Pro Forma IS'!J$10)*$P8)+(Revenue!J15/'Pro Forma IS'!K$10)*('Pro Forma IS'!K$10-$P8)</f>
        <v>2575582.0726</v>
      </c>
      <c r="L8" s="29">
        <f aca="true" t="shared" si="0" ref="L8:L13">SUM(G8:K8)</f>
        <v>12640717.8732</v>
      </c>
      <c r="M8" s="29"/>
      <c r="O8" s="99" t="s">
        <v>217</v>
      </c>
      <c r="P8" s="100">
        <v>30</v>
      </c>
    </row>
    <row r="9" spans="2:17" ht="9.75">
      <c r="B9" s="34" t="str">
        <f>Revenue!B16</f>
        <v>MCD IP</v>
      </c>
      <c r="G9" s="29">
        <f>(Revenue!F16/'Pro Forma IS'!G$10)*('Pro Forma IS'!G$10-$P9)</f>
        <v>137675.62</v>
      </c>
      <c r="H9" s="29">
        <f>((Revenue!F16/'Pro Forma IS'!G$10)*$P9)+(Revenue!G16/'Pro Forma IS'!H$10)*('Pro Forma IS'!H$10-$P9)</f>
        <v>151381.5362</v>
      </c>
      <c r="I9" s="29">
        <f>((Revenue!G16/'Pro Forma IS'!H$10)*$P9)+(Revenue!H16/'Pro Forma IS'!I$10)*('Pro Forma IS'!I$10-$P9)</f>
        <v>151504.8278</v>
      </c>
      <c r="J9" s="29">
        <f>((Revenue!H16/'Pro Forma IS'!I$10)*$P9)+(Revenue!I16/'Pro Forma IS'!J$10)*('Pro Forma IS'!J$10-$P9)</f>
        <v>151504.8278</v>
      </c>
      <c r="K9" s="29">
        <f>((Revenue!I16/'Pro Forma IS'!J$10)*$P9)+(Revenue!J16/'Pro Forma IS'!K$10)*('Pro Forma IS'!K$10-$P9)</f>
        <v>151504.8278</v>
      </c>
      <c r="L9" s="29">
        <f t="shared" si="0"/>
        <v>743571.6395999999</v>
      </c>
      <c r="M9" s="29"/>
      <c r="O9" s="99" t="s">
        <v>218</v>
      </c>
      <c r="P9" s="100">
        <v>30</v>
      </c>
      <c r="Q9" s="101" t="s">
        <v>223</v>
      </c>
    </row>
    <row r="10" spans="2:17" ht="9.75">
      <c r="B10" s="34" t="str">
        <f>Revenue!B17</f>
        <v>PVT INS.</v>
      </c>
      <c r="G10" s="29">
        <f>(Revenue!F17/'Pro Forma IS'!G$10)*('Pro Forma IS'!G$10-$P10)</f>
        <v>106030.776</v>
      </c>
      <c r="H10" s="29">
        <f>((Revenue!F17/'Pro Forma IS'!G$10)*$P10)+(Revenue!G17/'Pro Forma IS'!H$10)*('Pro Forma IS'!H$10-$P10)</f>
        <v>181066.04376000003</v>
      </c>
      <c r="I10" s="29">
        <f>((Revenue!G17/'Pro Forma IS'!H$10)*$P10)+(Revenue!H17/'Pro Forma IS'!I$10)*('Pro Forma IS'!I$10-$P10)</f>
        <v>181805.79336</v>
      </c>
      <c r="J10" s="29">
        <f>((Revenue!H17/'Pro Forma IS'!I$10)*$P10)+(Revenue!I17/'Pro Forma IS'!J$10)*('Pro Forma IS'!J$10-$P10)</f>
        <v>181805.79336</v>
      </c>
      <c r="K10" s="29">
        <f>((Revenue!I17/'Pro Forma IS'!J$10)*$P10)+(Revenue!J17/'Pro Forma IS'!K$10)*('Pro Forma IS'!K$10-$P10)</f>
        <v>181805.79336</v>
      </c>
      <c r="L10" s="29">
        <f t="shared" si="0"/>
        <v>832514.1998400001</v>
      </c>
      <c r="M10" s="29"/>
      <c r="O10" s="99" t="s">
        <v>226</v>
      </c>
      <c r="P10" s="100">
        <v>150</v>
      </c>
      <c r="Q10" s="101" t="s">
        <v>222</v>
      </c>
    </row>
    <row r="11" spans="2:16" ht="9.75">
      <c r="B11" s="34" t="str">
        <f>Revenue!B18</f>
        <v>Indigent</v>
      </c>
      <c r="G11" s="29">
        <f>(Revenue!F18/'Pro Forma IS'!G$10)*('Pro Forma IS'!G$10-$P11)</f>
        <v>0</v>
      </c>
      <c r="H11" s="29">
        <f>((Revenue!F18/'Pro Forma IS'!G$10)*$P11)+(Revenue!G18/'Pro Forma IS'!H$10)*('Pro Forma IS'!H$10-$P11)</f>
        <v>0</v>
      </c>
      <c r="I11" s="29">
        <f>((Revenue!G18/'Pro Forma IS'!H$10)*$P11)+(Revenue!H18/'Pro Forma IS'!I$10)*('Pro Forma IS'!I$10-$P11)</f>
        <v>0</v>
      </c>
      <c r="J11" s="29">
        <f>((Revenue!H18/'Pro Forma IS'!I$10)*$P11)+(Revenue!I18/'Pro Forma IS'!J$10)*('Pro Forma IS'!J$10-$P11)</f>
        <v>0</v>
      </c>
      <c r="K11" s="29">
        <f>((Revenue!I18/'Pro Forma IS'!J$10)*$P11)+(Revenue!J18/'Pro Forma IS'!K$10)*('Pro Forma IS'!K$10-$P11)</f>
        <v>0</v>
      </c>
      <c r="L11" s="29">
        <f t="shared" si="0"/>
        <v>0</v>
      </c>
      <c r="M11" s="29"/>
      <c r="O11" s="99" t="s">
        <v>219</v>
      </c>
      <c r="P11" s="100">
        <v>0</v>
      </c>
    </row>
    <row r="12" spans="2:16" ht="9.75">
      <c r="B12" s="34" t="str">
        <f>Revenue!B19</f>
        <v>Other</v>
      </c>
      <c r="G12" s="29">
        <f>(Revenue!F19/'Pro Forma IS'!G$10)*('Pro Forma IS'!G$10-$P12)</f>
        <v>0</v>
      </c>
      <c r="H12" s="29">
        <f>((Revenue!F19/'Pro Forma IS'!G$10)*$P12)+(Revenue!G19/'Pro Forma IS'!H$10)*('Pro Forma IS'!H$10-$P12)</f>
        <v>0</v>
      </c>
      <c r="I12" s="29">
        <f>((Revenue!G19/'Pro Forma IS'!H$10)*$P12)+(Revenue!H19/'Pro Forma IS'!I$10)*('Pro Forma IS'!I$10-$P12)</f>
        <v>0</v>
      </c>
      <c r="J12" s="29">
        <f>((Revenue!H19/'Pro Forma IS'!I$10)*$P12)+(Revenue!I19/'Pro Forma IS'!J$10)*('Pro Forma IS'!J$10-$P12)</f>
        <v>0</v>
      </c>
      <c r="K12" s="29">
        <f>((Revenue!I19/'Pro Forma IS'!J$10)*$P12)+(Revenue!J19/'Pro Forma IS'!K$10)*('Pro Forma IS'!K$10-$P12)</f>
        <v>0</v>
      </c>
      <c r="L12" s="29">
        <f t="shared" si="0"/>
        <v>0</v>
      </c>
      <c r="M12" s="29"/>
      <c r="O12" s="99" t="s">
        <v>219</v>
      </c>
      <c r="P12" s="100">
        <v>0</v>
      </c>
    </row>
    <row r="13" spans="2:16" ht="9.75">
      <c r="B13" s="34" t="str">
        <f>Revenue!B23</f>
        <v>Allowance/Bad Debt</v>
      </c>
      <c r="G13" s="29">
        <f>(Revenue!F23/'Pro Forma IS'!G$10)*('Pro Forma IS'!G$10-$P13)</f>
        <v>-49711.17312</v>
      </c>
      <c r="H13" s="29">
        <f>((Revenue!F23/'Pro Forma IS'!G$10)*$P13)+(Revenue!G23/'Pro Forma IS'!H$10)*('Pro Forma IS'!H$10-$P13)</f>
        <v>-58098.94725120001</v>
      </c>
      <c r="I13" s="29">
        <f>((Revenue!G23/'Pro Forma IS'!H$10)*$P13)+(Revenue!H23/'Pro Forma IS'!I$10)*('Pro Forma IS'!I$10-$P13)</f>
        <v>-58177.8538752</v>
      </c>
      <c r="J13" s="29">
        <f>((Revenue!H23/'Pro Forma IS'!I$10)*$P13)+(Revenue!I23/'Pro Forma IS'!J$10)*('Pro Forma IS'!J$10-$P13)</f>
        <v>-58177.8538752</v>
      </c>
      <c r="K13" s="29">
        <f>((Revenue!I23/'Pro Forma IS'!J$10)*$P13)+(Revenue!J23/'Pro Forma IS'!K$10)*('Pro Forma IS'!K$10-$P13)</f>
        <v>-58177.8538752</v>
      </c>
      <c r="L13" s="29">
        <f t="shared" si="0"/>
        <v>-282343.6819968</v>
      </c>
      <c r="M13" s="29"/>
      <c r="O13" s="99" t="s">
        <v>220</v>
      </c>
      <c r="P13" s="100">
        <v>50</v>
      </c>
    </row>
    <row r="14" spans="3:13" ht="10.5" thickBot="1">
      <c r="C14" s="34" t="s">
        <v>203</v>
      </c>
      <c r="G14" s="102">
        <f aca="true" t="shared" si="1" ref="G14:L14">SUM(G8:G13)</f>
        <v>2534480.7628800003</v>
      </c>
      <c r="H14" s="102">
        <f t="shared" si="1"/>
        <v>2847834.7481088</v>
      </c>
      <c r="I14" s="102">
        <f t="shared" si="1"/>
        <v>2850714.8398848004</v>
      </c>
      <c r="J14" s="102">
        <f t="shared" si="1"/>
        <v>2850714.8398848004</v>
      </c>
      <c r="K14" s="102">
        <f t="shared" si="1"/>
        <v>2850714.8398848004</v>
      </c>
      <c r="L14" s="102">
        <f t="shared" si="1"/>
        <v>13934460.030643199</v>
      </c>
      <c r="M14" s="29"/>
    </row>
    <row r="15" spans="7:13" ht="9.75">
      <c r="G15" s="30"/>
      <c r="H15" s="30"/>
      <c r="I15" s="30"/>
      <c r="J15" s="30"/>
      <c r="K15" s="30"/>
      <c r="L15" s="29"/>
      <c r="M15" s="29"/>
    </row>
    <row r="16" spans="2:16" ht="9.75">
      <c r="B16" s="34" t="str">
        <f>Revenue!B29</f>
        <v>MCR </v>
      </c>
      <c r="G16" s="29">
        <f>(Revenue!F29/'Pro Forma IS'!G$10)*('Pro Forma IS'!G$10-$P16)</f>
        <v>48976.99999999999</v>
      </c>
      <c r="H16" s="29">
        <f>((Revenue!F29/'Pro Forma IS'!G$10)*$P16)+(Revenue!G29/'Pro Forma IS'!H$10)*('Pro Forma IS'!H$10-$P16)</f>
        <v>53852.770000000004</v>
      </c>
      <c r="I16" s="29">
        <f>((Revenue!G29/'Pro Forma IS'!H$10)*$P16)+(Revenue!H29/'Pro Forma IS'!I$10)*('Pro Forma IS'!I$10-$P16)</f>
        <v>53896.630000000005</v>
      </c>
      <c r="J16" s="29">
        <f>((Revenue!H29/'Pro Forma IS'!I$10)*$P16)+(Revenue!I29/'Pro Forma IS'!J$10)*('Pro Forma IS'!J$10-$P16)</f>
        <v>53896.630000000005</v>
      </c>
      <c r="K16" s="29">
        <f>((Revenue!I29/'Pro Forma IS'!J$10)*$P16)+(Revenue!J29/'Pro Forma IS'!K$10)*('Pro Forma IS'!K$10-$P16)</f>
        <v>53896.630000000005</v>
      </c>
      <c r="L16" s="29">
        <f aca="true" t="shared" si="2" ref="L16:L21">SUM(G16:K16)</f>
        <v>264519.66000000003</v>
      </c>
      <c r="M16" s="29"/>
      <c r="O16" s="99" t="s">
        <v>217</v>
      </c>
      <c r="P16" s="100">
        <v>30</v>
      </c>
    </row>
    <row r="17" spans="2:16" ht="9.75">
      <c r="B17" s="34" t="str">
        <f>Revenue!B30</f>
        <v>MCD</v>
      </c>
      <c r="G17" s="29">
        <f>(Revenue!F30/'Pro Forma IS'!G$10)*('Pro Forma IS'!G$10-$P17)</f>
        <v>2881</v>
      </c>
      <c r="H17" s="29">
        <f>((Revenue!F30/'Pro Forma IS'!G$10)*$P17)+(Revenue!G30/'Pro Forma IS'!H$10)*('Pro Forma IS'!H$10-$P17)</f>
        <v>3167.81</v>
      </c>
      <c r="I17" s="29">
        <f>((Revenue!G30/'Pro Forma IS'!H$10)*$P17)+(Revenue!H30/'Pro Forma IS'!I$10)*('Pro Forma IS'!I$10-$P17)</f>
        <v>3170.39</v>
      </c>
      <c r="J17" s="29">
        <f>((Revenue!H30/'Pro Forma IS'!I$10)*$P17)+(Revenue!I30/'Pro Forma IS'!J$10)*('Pro Forma IS'!J$10-$P17)</f>
        <v>3170.39</v>
      </c>
      <c r="K17" s="29">
        <f>((Revenue!I30/'Pro Forma IS'!J$10)*$P17)+(Revenue!J30/'Pro Forma IS'!K$10)*('Pro Forma IS'!K$10-$P17)</f>
        <v>3170.39</v>
      </c>
      <c r="L17" s="29">
        <f t="shared" si="2"/>
        <v>15559.979999999998</v>
      </c>
      <c r="M17" s="29"/>
      <c r="O17" s="99" t="s">
        <v>218</v>
      </c>
      <c r="P17" s="100">
        <v>30</v>
      </c>
    </row>
    <row r="18" spans="2:16" ht="9.75">
      <c r="B18" s="34" t="str">
        <f>Revenue!B31</f>
        <v>PVT INS.</v>
      </c>
      <c r="G18" s="29">
        <f>(Revenue!F31/'Pro Forma IS'!G$10)*('Pro Forma IS'!G$10-$P18)</f>
        <v>2218.7999999999997</v>
      </c>
      <c r="H18" s="29">
        <f>((Revenue!F31/'Pro Forma IS'!G$10)*$P18)+(Revenue!G31/'Pro Forma IS'!H$10)*('Pro Forma IS'!H$10-$P18)</f>
        <v>3788.9879999999994</v>
      </c>
      <c r="I18" s="29">
        <f>((Revenue!G31/'Pro Forma IS'!H$10)*$P18)+(Revenue!H31/'Pro Forma IS'!I$10)*('Pro Forma IS'!I$10-$P18)</f>
        <v>3804.468</v>
      </c>
      <c r="J18" s="29">
        <f>((Revenue!H31/'Pro Forma IS'!I$10)*$P18)+(Revenue!I31/'Pro Forma IS'!J$10)*('Pro Forma IS'!J$10-$P18)</f>
        <v>3804.468</v>
      </c>
      <c r="K18" s="29">
        <f>((Revenue!I31/'Pro Forma IS'!J$10)*$P18)+(Revenue!J31/'Pro Forma IS'!K$10)*('Pro Forma IS'!K$10-$P18)</f>
        <v>3804.468</v>
      </c>
      <c r="L18" s="29">
        <f t="shared" si="2"/>
        <v>17421.192</v>
      </c>
      <c r="M18" s="29"/>
      <c r="O18" s="99" t="s">
        <v>226</v>
      </c>
      <c r="P18" s="100">
        <v>150</v>
      </c>
    </row>
    <row r="19" spans="2:16" ht="9.75">
      <c r="B19" s="34" t="str">
        <f>Revenue!B32</f>
        <v>Indigent</v>
      </c>
      <c r="G19" s="29">
        <f>(Revenue!F32/'Pro Forma IS'!G$10)*('Pro Forma IS'!G$10-$P19)</f>
        <v>0</v>
      </c>
      <c r="H19" s="29">
        <f>((Revenue!F32/'Pro Forma IS'!G$10)*$P19)+(Revenue!G32/'Pro Forma IS'!H$10)*('Pro Forma IS'!H$10-$P19)</f>
        <v>0</v>
      </c>
      <c r="I19" s="29">
        <f>((Revenue!G32/'Pro Forma IS'!H$10)*$P19)+(Revenue!H32/'Pro Forma IS'!I$10)*('Pro Forma IS'!I$10-$P19)</f>
        <v>0</v>
      </c>
      <c r="J19" s="29">
        <f>((Revenue!H32/'Pro Forma IS'!I$10)*$P19)+(Revenue!I32/'Pro Forma IS'!J$10)*('Pro Forma IS'!J$10-$P19)</f>
        <v>0</v>
      </c>
      <c r="K19" s="29">
        <f>((Revenue!I32/'Pro Forma IS'!J$10)*$P19)+(Revenue!J32/'Pro Forma IS'!K$10)*('Pro Forma IS'!K$10-$P19)</f>
        <v>0</v>
      </c>
      <c r="L19" s="29">
        <f t="shared" si="2"/>
        <v>0</v>
      </c>
      <c r="M19" s="29"/>
      <c r="O19" s="99" t="s">
        <v>219</v>
      </c>
      <c r="P19" s="100">
        <v>0</v>
      </c>
    </row>
    <row r="20" spans="2:16" ht="9.75">
      <c r="B20" s="34" t="str">
        <f>Revenue!B33</f>
        <v>Room and Board</v>
      </c>
      <c r="G20" s="29">
        <f>(Revenue!F33/'Pro Forma IS'!G$10)*('Pro Forma IS'!G$10-$P20)</f>
        <v>3467.5</v>
      </c>
      <c r="H20" s="29">
        <f>((Revenue!F33/'Pro Forma IS'!G$10)*$P20)+(Revenue!G33/'Pro Forma IS'!H$10)*('Pro Forma IS'!H$10-$P20)</f>
        <v>3502.175</v>
      </c>
      <c r="I20" s="29">
        <f>((Revenue!G33/'Pro Forma IS'!H$10)*$P20)+(Revenue!H33/'Pro Forma IS'!I$10)*('Pro Forma IS'!I$10-$P20)</f>
        <v>3502.175</v>
      </c>
      <c r="J20" s="29">
        <f>((Revenue!H33/'Pro Forma IS'!I$10)*$P20)+(Revenue!I33/'Pro Forma IS'!J$10)*('Pro Forma IS'!J$10-$P20)</f>
        <v>3502.175</v>
      </c>
      <c r="K20" s="29">
        <f>((Revenue!I33/'Pro Forma IS'!J$10)*$P20)+(Revenue!J33/'Pro Forma IS'!K$10)*('Pro Forma IS'!K$10-$P20)</f>
        <v>3502.175</v>
      </c>
      <c r="L20" s="29">
        <f t="shared" si="2"/>
        <v>17476.2</v>
      </c>
      <c r="M20" s="29"/>
      <c r="O20" s="99" t="s">
        <v>219</v>
      </c>
      <c r="P20" s="100">
        <v>0</v>
      </c>
    </row>
    <row r="21" spans="2:16" ht="9.75">
      <c r="B21" s="34" t="str">
        <f>Revenue!B37</f>
        <v>Allowance/Bad Debt</v>
      </c>
      <c r="G21" s="29">
        <f>(Revenue!F37/'Pro Forma IS'!G$10)*('Pro Forma IS'!G$10-$P21)</f>
        <v>-1117.5680000000002</v>
      </c>
      <c r="H21" s="29">
        <f>((Revenue!F37/'Pro Forma IS'!G$10)*$P21)+(Revenue!G37/'Pro Forma IS'!H$10)*('Pro Forma IS'!H$10-$P21)</f>
        <v>-1285.90168</v>
      </c>
      <c r="I21" s="29">
        <f>((Revenue!G37/'Pro Forma IS'!H$10)*$P21)+(Revenue!H37/'Pro Forma IS'!I$10)*('Pro Forma IS'!I$10-$P21)</f>
        <v>-1287.47326</v>
      </c>
      <c r="J21" s="29">
        <f>((Revenue!H37/'Pro Forma IS'!I$10)*$P21)+(Revenue!I37/'Pro Forma IS'!J$10)*('Pro Forma IS'!J$10-$P21)</f>
        <v>-1287.47326</v>
      </c>
      <c r="K21" s="29">
        <f>((Revenue!I37/'Pro Forma IS'!J$10)*$P21)+(Revenue!J37/'Pro Forma IS'!K$10)*('Pro Forma IS'!K$10-$P21)</f>
        <v>-1287.47326</v>
      </c>
      <c r="L21" s="29">
        <f t="shared" si="2"/>
        <v>-6265.889459999999</v>
      </c>
      <c r="M21" s="29"/>
      <c r="O21" s="99" t="s">
        <v>220</v>
      </c>
      <c r="P21" s="100">
        <v>45</v>
      </c>
    </row>
    <row r="22" spans="3:13" ht="10.5" thickBot="1">
      <c r="C22" s="34" t="s">
        <v>204</v>
      </c>
      <c r="G22" s="102">
        <f aca="true" t="shared" si="3" ref="G22:L22">SUM(G16:G21)</f>
        <v>56426.731999999996</v>
      </c>
      <c r="H22" s="102">
        <f t="shared" si="3"/>
        <v>63025.84132</v>
      </c>
      <c r="I22" s="102">
        <f t="shared" si="3"/>
        <v>63086.18974000001</v>
      </c>
      <c r="J22" s="102">
        <f t="shared" si="3"/>
        <v>63086.18974000001</v>
      </c>
      <c r="K22" s="102">
        <f t="shared" si="3"/>
        <v>63086.18974000001</v>
      </c>
      <c r="L22" s="102">
        <f t="shared" si="3"/>
        <v>308711.14254000003</v>
      </c>
      <c r="M22" s="29"/>
    </row>
    <row r="23" spans="7:13" ht="9.75">
      <c r="G23" s="30"/>
      <c r="H23" s="30"/>
      <c r="I23" s="30"/>
      <c r="J23" s="30"/>
      <c r="K23" s="30"/>
      <c r="L23" s="29"/>
      <c r="M23" s="29"/>
    </row>
    <row r="24" spans="2:16" ht="9.75">
      <c r="B24" s="34" t="str">
        <f>Revenue!B43</f>
        <v>MCR </v>
      </c>
      <c r="G24" s="29">
        <f>(Revenue!F43/'Pro Forma IS'!G$10)*('Pro Forma IS'!G$10-$P24)</f>
        <v>256149.71</v>
      </c>
      <c r="H24" s="29">
        <f>((Revenue!F43/'Pro Forma IS'!G$10)*$P24)+(Revenue!G43/'Pro Forma IS'!H$10)*('Pro Forma IS'!H$10-$P24)</f>
        <v>281649.9871</v>
      </c>
      <c r="I24" s="29">
        <f>((Revenue!G43/'Pro Forma IS'!H$10)*$P24)+(Revenue!H43/'Pro Forma IS'!I$10)*('Pro Forma IS'!I$10-$P24)</f>
        <v>281879.3749</v>
      </c>
      <c r="J24" s="29">
        <f>((Revenue!H43/'Pro Forma IS'!I$10)*$P24)+(Revenue!I43/'Pro Forma IS'!J$10)*('Pro Forma IS'!J$10-$P24)</f>
        <v>281879.3749</v>
      </c>
      <c r="K24" s="29">
        <f>((Revenue!I43/'Pro Forma IS'!J$10)*$P24)+(Revenue!J43/'Pro Forma IS'!K$10)*('Pro Forma IS'!K$10-$P24)</f>
        <v>281879.3749</v>
      </c>
      <c r="L24" s="29">
        <f aca="true" t="shared" si="4" ref="L24:L29">SUM(G24:K24)</f>
        <v>1383437.8217999998</v>
      </c>
      <c r="M24" s="29"/>
      <c r="O24" s="99" t="s">
        <v>217</v>
      </c>
      <c r="P24" s="100">
        <v>30</v>
      </c>
    </row>
    <row r="25" spans="2:16" ht="9.75">
      <c r="B25" s="34" t="str">
        <f>Revenue!B44</f>
        <v>MCD</v>
      </c>
      <c r="G25" s="29">
        <f>(Revenue!F44/'Pro Forma IS'!G$10)*('Pro Forma IS'!G$10-$P25)</f>
        <v>15067.629999999997</v>
      </c>
      <c r="H25" s="29">
        <f>((Revenue!F44/'Pro Forma IS'!G$10)*$P25)+(Revenue!G44/'Pro Forma IS'!H$10)*('Pro Forma IS'!H$10-$P25)</f>
        <v>16567.646299999997</v>
      </c>
      <c r="I25" s="29">
        <f>((Revenue!G44/'Pro Forma IS'!H$10)*$P25)+(Revenue!H44/'Pro Forma IS'!I$10)*('Pro Forma IS'!I$10-$P25)</f>
        <v>16581.139699999996</v>
      </c>
      <c r="J25" s="29">
        <f>((Revenue!H44/'Pro Forma IS'!I$10)*$P25)+(Revenue!I44/'Pro Forma IS'!J$10)*('Pro Forma IS'!J$10-$P25)</f>
        <v>16581.139699999996</v>
      </c>
      <c r="K25" s="29">
        <f>((Revenue!I44/'Pro Forma IS'!J$10)*$P25)+(Revenue!J44/'Pro Forma IS'!K$10)*('Pro Forma IS'!K$10-$P25)</f>
        <v>16581.139699999996</v>
      </c>
      <c r="L25" s="29">
        <f t="shared" si="4"/>
        <v>81378.69539999998</v>
      </c>
      <c r="M25" s="29"/>
      <c r="O25" s="99" t="s">
        <v>218</v>
      </c>
      <c r="P25" s="100">
        <v>30</v>
      </c>
    </row>
    <row r="26" spans="2:16" ht="9.75">
      <c r="B26" s="34" t="str">
        <f>Revenue!B45</f>
        <v>PVT INS.</v>
      </c>
      <c r="G26" s="29">
        <f>(Revenue!F45/'Pro Forma IS'!G$10)*('Pro Forma IS'!G$10-$P26)</f>
        <v>11604.323999999999</v>
      </c>
      <c r="H26" s="29">
        <f>((Revenue!F45/'Pro Forma IS'!G$10)*$P26)+(Revenue!G45/'Pro Forma IS'!H$10)*('Pro Forma IS'!H$10-$P26)</f>
        <v>19816.407239999997</v>
      </c>
      <c r="I26" s="29">
        <f>((Revenue!G45/'Pro Forma IS'!H$10)*$P26)+(Revenue!H45/'Pro Forma IS'!I$10)*('Pro Forma IS'!I$10-$P26)</f>
        <v>19897.367639999997</v>
      </c>
      <c r="J26" s="29">
        <f>((Revenue!H45/'Pro Forma IS'!I$10)*$P26)+(Revenue!I45/'Pro Forma IS'!J$10)*('Pro Forma IS'!J$10-$P26)</f>
        <v>19897.367639999997</v>
      </c>
      <c r="K26" s="29">
        <f>((Revenue!I45/'Pro Forma IS'!J$10)*$P26)+(Revenue!J45/'Pro Forma IS'!K$10)*('Pro Forma IS'!K$10-$P26)</f>
        <v>19897.367639999997</v>
      </c>
      <c r="L26" s="29">
        <f t="shared" si="4"/>
        <v>91112.83415999998</v>
      </c>
      <c r="M26" s="29"/>
      <c r="O26" s="99" t="s">
        <v>226</v>
      </c>
      <c r="P26" s="100">
        <v>150</v>
      </c>
    </row>
    <row r="27" spans="2:16" ht="9.75">
      <c r="B27" s="34" t="str">
        <f>Revenue!B46</f>
        <v>Indigent</v>
      </c>
      <c r="G27" s="29">
        <f>(Revenue!F46/'Pro Forma IS'!G$10)*('Pro Forma IS'!G$10-$P27)</f>
        <v>0</v>
      </c>
      <c r="H27" s="29">
        <f>((Revenue!F46/'Pro Forma IS'!G$10)*$P27)+(Revenue!G46/'Pro Forma IS'!H$10)*('Pro Forma IS'!H$10-$P27)</f>
        <v>0</v>
      </c>
      <c r="I27" s="29">
        <f>((Revenue!G46/'Pro Forma IS'!H$10)*$P27)+(Revenue!H46/'Pro Forma IS'!I$10)*('Pro Forma IS'!I$10-$P27)</f>
        <v>0</v>
      </c>
      <c r="J27" s="29">
        <f>((Revenue!H46/'Pro Forma IS'!I$10)*$P27)+(Revenue!I46/'Pro Forma IS'!J$10)*('Pro Forma IS'!J$10-$P27)</f>
        <v>0</v>
      </c>
      <c r="K27" s="29">
        <f>((Revenue!I46/'Pro Forma IS'!J$10)*$P27)+(Revenue!J46/'Pro Forma IS'!K$10)*('Pro Forma IS'!K$10-$P27)</f>
        <v>0</v>
      </c>
      <c r="L27" s="29">
        <f t="shared" si="4"/>
        <v>0</v>
      </c>
      <c r="M27" s="29"/>
      <c r="O27" s="99" t="s">
        <v>219</v>
      </c>
      <c r="P27" s="100">
        <v>0</v>
      </c>
    </row>
    <row r="28" spans="2:16" ht="9.75">
      <c r="B28" s="34" t="str">
        <f>Revenue!B47</f>
        <v>Other</v>
      </c>
      <c r="G28" s="29">
        <f>(Revenue!F47/'Pro Forma IS'!G$10)*('Pro Forma IS'!G$10-$P28)</f>
        <v>0</v>
      </c>
      <c r="H28" s="29">
        <f>((Revenue!F47/'Pro Forma IS'!G$10)*$P28)+(Revenue!G47/'Pro Forma IS'!H$10)*('Pro Forma IS'!H$10-$P28)</f>
        <v>0</v>
      </c>
      <c r="I28" s="29">
        <f>((Revenue!G47/'Pro Forma IS'!H$10)*$P28)+(Revenue!H47/'Pro Forma IS'!I$10)*('Pro Forma IS'!I$10-$P28)</f>
        <v>0</v>
      </c>
      <c r="J28" s="29">
        <f>((Revenue!H47/'Pro Forma IS'!I$10)*$P28)+(Revenue!I47/'Pro Forma IS'!J$10)*('Pro Forma IS'!J$10-$P28)</f>
        <v>0</v>
      </c>
      <c r="K28" s="29">
        <f>((Revenue!I47/'Pro Forma IS'!J$10)*$P28)+(Revenue!J47/'Pro Forma IS'!K$10)*('Pro Forma IS'!K$10-$P28)</f>
        <v>0</v>
      </c>
      <c r="L28" s="29">
        <f t="shared" si="4"/>
        <v>0</v>
      </c>
      <c r="M28" s="29"/>
      <c r="O28" s="99" t="s">
        <v>219</v>
      </c>
      <c r="P28" s="100">
        <v>0</v>
      </c>
    </row>
    <row r="29" spans="2:16" ht="9.75">
      <c r="B29" s="34" t="str">
        <f>Revenue!B51</f>
        <v>Allowance/Bad Debt</v>
      </c>
      <c r="G29" s="29">
        <f>(Revenue!F51/'Pro Forma IS'!G$10)*('Pro Forma IS'!G$10-$P29)</f>
        <v>-27634.4832</v>
      </c>
      <c r="H29" s="29">
        <f>((Revenue!F51/'Pro Forma IS'!G$10)*$P29)+(Revenue!G51/'Pro Forma IS'!H$10)*('Pro Forma IS'!H$10-$P29)</f>
        <v>-31796.927232000005</v>
      </c>
      <c r="I29" s="29">
        <f>((Revenue!G51/'Pro Forma IS'!H$10)*$P29)+(Revenue!H51/'Pro Forma IS'!I$10)*('Pro Forma IS'!I$10-$P29)</f>
        <v>-31835.788224000004</v>
      </c>
      <c r="J29" s="29">
        <f>((Revenue!H51/'Pro Forma IS'!I$10)*$P29)+(Revenue!I51/'Pro Forma IS'!J$10)*('Pro Forma IS'!J$10-$P29)</f>
        <v>-31835.788224000004</v>
      </c>
      <c r="K29" s="29">
        <f>((Revenue!I51/'Pro Forma IS'!J$10)*$P29)+(Revenue!J51/'Pro Forma IS'!K$10)*('Pro Forma IS'!K$10-$P29)</f>
        <v>-31835.788224000004</v>
      </c>
      <c r="L29" s="29">
        <f t="shared" si="4"/>
        <v>-154938.775104</v>
      </c>
      <c r="M29" s="29"/>
      <c r="O29" s="99" t="s">
        <v>220</v>
      </c>
      <c r="P29" s="100">
        <v>45</v>
      </c>
    </row>
    <row r="30" spans="3:13" ht="10.5" thickBot="1">
      <c r="C30" s="34" t="s">
        <v>286</v>
      </c>
      <c r="G30" s="102">
        <f aca="true" t="shared" si="5" ref="G30:L30">SUM(G24:G29)</f>
        <v>255187.1808</v>
      </c>
      <c r="H30" s="102">
        <f t="shared" si="5"/>
        <v>286237.11340800003</v>
      </c>
      <c r="I30" s="102">
        <f t="shared" si="5"/>
        <v>286522.094016</v>
      </c>
      <c r="J30" s="102">
        <f t="shared" si="5"/>
        <v>286522.094016</v>
      </c>
      <c r="K30" s="102">
        <f t="shared" si="5"/>
        <v>286522.094016</v>
      </c>
      <c r="L30" s="102">
        <f t="shared" si="5"/>
        <v>1400990.576256</v>
      </c>
      <c r="M30" s="29"/>
    </row>
    <row r="31" spans="7:13" ht="9.75">
      <c r="G31" s="30"/>
      <c r="H31" s="30"/>
      <c r="I31" s="30"/>
      <c r="J31" s="30"/>
      <c r="K31" s="30"/>
      <c r="L31" s="29"/>
      <c r="M31" s="29"/>
    </row>
    <row r="32" spans="2:13" ht="9.75">
      <c r="B32" s="34" t="s">
        <v>112</v>
      </c>
      <c r="G32" s="29">
        <f>'Pro Forma IS'!G36</f>
        <v>0</v>
      </c>
      <c r="H32" s="29">
        <f>'Pro Forma IS'!H36</f>
        <v>0</v>
      </c>
      <c r="I32" s="29">
        <f>'Pro Forma IS'!I36</f>
        <v>0</v>
      </c>
      <c r="J32" s="29">
        <f>'Pro Forma IS'!J36</f>
        <v>0</v>
      </c>
      <c r="K32" s="29">
        <f>'Pro Forma IS'!K36</f>
        <v>0</v>
      </c>
      <c r="L32" s="29">
        <f>SUM(G32:K32)</f>
        <v>0</v>
      </c>
      <c r="M32" s="29"/>
    </row>
    <row r="33" spans="7:13" ht="9.75">
      <c r="G33" s="29"/>
      <c r="H33" s="30"/>
      <c r="I33" s="30"/>
      <c r="J33" s="30"/>
      <c r="K33" s="30"/>
      <c r="L33" s="29"/>
      <c r="M33" s="29"/>
    </row>
    <row r="34" spans="2:13" ht="10.5" thickBot="1">
      <c r="B34" s="34" t="s">
        <v>205</v>
      </c>
      <c r="G34" s="102">
        <f aca="true" t="shared" si="6" ref="G34:L34">G14+G22+G30+G32</f>
        <v>2846094.6756800003</v>
      </c>
      <c r="H34" s="102">
        <f t="shared" si="6"/>
        <v>3197097.7028368004</v>
      </c>
      <c r="I34" s="102">
        <f t="shared" si="6"/>
        <v>3200323.1236408004</v>
      </c>
      <c r="J34" s="102">
        <f t="shared" si="6"/>
        <v>3200323.1236408004</v>
      </c>
      <c r="K34" s="102">
        <f t="shared" si="6"/>
        <v>3200323.1236408004</v>
      </c>
      <c r="L34" s="102">
        <f t="shared" si="6"/>
        <v>15644161.749439199</v>
      </c>
      <c r="M34" s="30"/>
    </row>
    <row r="35" spans="7:13" ht="9.75">
      <c r="G35" s="29"/>
      <c r="H35" s="29"/>
      <c r="I35" s="29"/>
      <c r="J35" s="29"/>
      <c r="K35" s="29"/>
      <c r="L35" s="29"/>
      <c r="M35" s="29"/>
    </row>
    <row r="36" spans="1:13" ht="10.5">
      <c r="A36" s="85" t="s">
        <v>202</v>
      </c>
      <c r="G36" s="29"/>
      <c r="H36" s="29"/>
      <c r="I36" s="29"/>
      <c r="J36" s="29"/>
      <c r="K36" s="29"/>
      <c r="L36" s="29"/>
      <c r="M36" s="29"/>
    </row>
    <row r="37" spans="2:13" ht="12">
      <c r="B37" s="42"/>
      <c r="C37" s="42"/>
      <c r="D37" s="42"/>
      <c r="E37" s="42"/>
      <c r="F37" s="42"/>
      <c r="G37" s="42"/>
      <c r="H37" s="42"/>
      <c r="I37" s="42"/>
      <c r="J37" s="42"/>
      <c r="K37" s="42"/>
      <c r="L37" s="42"/>
      <c r="M37" s="42"/>
    </row>
    <row r="38" spans="2:17" ht="9.75">
      <c r="B38" s="34" t="s">
        <v>13</v>
      </c>
      <c r="G38" s="29">
        <f>(Staffing!F164/'Pro Forma IS'!G$10)*('Pro Forma IS'!G$10-$P38)</f>
        <v>1472535.0473282444</v>
      </c>
      <c r="H38" s="29">
        <f>((Staffing!F164/'Pro Forma IS'!G$10)*$P38)+(Staffing!G164/'Pro Forma IS'!H$10)*('Pro Forma IS'!H$10-$P38)</f>
        <v>1516711.0987480916</v>
      </c>
      <c r="I38" s="29">
        <f>((Staffing!G164/'Pro Forma IS'!H$10)*$P38)+(Staffing!H164/'Pro Forma IS'!I$10)*('Pro Forma IS'!I$10-$P38)</f>
        <v>1560887.150167939</v>
      </c>
      <c r="J38" s="29">
        <f>((Staffing!H164/'Pro Forma IS'!I$10)*$P38)+(Staffing!I164/'Pro Forma IS'!J$10)*('Pro Forma IS'!J$10-$P38)</f>
        <v>1605063.2015877864</v>
      </c>
      <c r="K38" s="29">
        <f>((Staffing!I164/'Pro Forma IS'!J$10)*$P38)+(Staffing!J164/'Pro Forma IS'!K$10)*('Pro Forma IS'!K$10-$P38)</f>
        <v>1649239.2530076334</v>
      </c>
      <c r="L38" s="29">
        <f>SUM(G38:K38)</f>
        <v>7804435.750839695</v>
      </c>
      <c r="M38" s="29"/>
      <c r="O38" s="99" t="s">
        <v>216</v>
      </c>
      <c r="P38" s="100">
        <v>0</v>
      </c>
      <c r="Q38" s="101" t="s">
        <v>224</v>
      </c>
    </row>
    <row r="39" spans="2:16" ht="9.75">
      <c r="B39" s="34" t="s">
        <v>58</v>
      </c>
      <c r="G39" s="29">
        <f>(Staffing!F166/'Pro Forma IS'!G$10)*('Pro Forma IS'!G$10-$P39)</f>
        <v>297331.0492824428</v>
      </c>
      <c r="H39" s="29">
        <f>((Staffing!F166/'Pro Forma IS'!G$10)*$P39)+(Staffing!G166/'Pro Forma IS'!H$10)*('Pro Forma IS'!H$10-$P39)</f>
        <v>332877.641890687</v>
      </c>
      <c r="I39" s="29">
        <f>((Staffing!G166/'Pro Forma IS'!H$10)*$P39)+(Staffing!H166/'Pro Forma IS'!I$10)*('Pro Forma IS'!I$10-$P39)</f>
        <v>342596.37320305343</v>
      </c>
      <c r="J39" s="29">
        <f>((Staffing!H166/'Pro Forma IS'!I$10)*$P39)+(Staffing!I166/'Pro Forma IS'!J$10)*('Pro Forma IS'!J$10-$P39)</f>
        <v>352315.10451541987</v>
      </c>
      <c r="K39" s="29">
        <f>((Staffing!I166/'Pro Forma IS'!J$10)*$P39)+(Staffing!J166/'Pro Forma IS'!K$10)*('Pro Forma IS'!K$10-$P39)</f>
        <v>362033.83582778624</v>
      </c>
      <c r="L39" s="29">
        <f>SUM(G39:K39)</f>
        <v>1687154.0047193891</v>
      </c>
      <c r="M39" s="29"/>
      <c r="O39" s="99" t="s">
        <v>221</v>
      </c>
      <c r="P39" s="100">
        <v>30</v>
      </c>
    </row>
    <row r="40" spans="2:16" ht="9.75">
      <c r="B40" s="34" t="s">
        <v>14</v>
      </c>
      <c r="G40" s="29">
        <f>('Patient Related'!H28/'Pro Forma IS'!G$10)*('Pro Forma IS'!G$10-$P40)</f>
        <v>214129.32</v>
      </c>
      <c r="H40" s="29">
        <f>(('Patient Related'!H28/'Pro Forma IS'!G$10)*$P40)+('Patient Related'!I28/'Pro Forma IS'!H$10)*('Pro Forma IS'!H$10-$P40)</f>
        <v>239728.95960000003</v>
      </c>
      <c r="I40" s="29">
        <f>(('Patient Related'!I28/'Pro Forma IS'!H$10)*$P40)+('Patient Related'!J28/'Pro Forma IS'!I$10)*('Pro Forma IS'!I$10-$P40)</f>
        <v>246728.11200000002</v>
      </c>
      <c r="J40" s="29">
        <f>(('Patient Related'!J28/'Pro Forma IS'!I$10)*$P40)+('Patient Related'!K28/'Pro Forma IS'!J$10)*('Pro Forma IS'!J$10-$P40)</f>
        <v>253727.26439999996</v>
      </c>
      <c r="K40" s="29">
        <f>(('Patient Related'!K28/'Pro Forma IS'!J$10)*$P40)+('Patient Related'!L28/'Pro Forma IS'!K$10)*('Pro Forma IS'!K$10-$P40)</f>
        <v>260726.41680000004</v>
      </c>
      <c r="L40" s="29">
        <f>SUM(G40:K40)</f>
        <v>1215040.0728</v>
      </c>
      <c r="M40" s="29"/>
      <c r="O40" s="99" t="s">
        <v>221</v>
      </c>
      <c r="P40" s="100">
        <v>30</v>
      </c>
    </row>
    <row r="41" spans="2:16" ht="9.75">
      <c r="B41" s="34" t="s">
        <v>15</v>
      </c>
      <c r="G41" s="29">
        <f>('Patient Related'!H46/'Pro Forma IS'!G$10)*('Pro Forma IS'!G$10-$P41)</f>
        <v>26766.165</v>
      </c>
      <c r="H41" s="29">
        <f>(('Patient Related'!H46/'Pro Forma IS'!G$10)*$P41)+('Patient Related'!I46/'Pro Forma IS'!H$10)*('Pro Forma IS'!H$10-$P41)</f>
        <v>29966.119950000004</v>
      </c>
      <c r="I41" s="29">
        <f>(('Patient Related'!I46/'Pro Forma IS'!H$10)*$P41)+('Patient Related'!J46/'Pro Forma IS'!I$10)*('Pro Forma IS'!I$10-$P41)</f>
        <v>30841.014000000003</v>
      </c>
      <c r="J41" s="29">
        <f>(('Patient Related'!J46/'Pro Forma IS'!I$10)*$P41)+('Patient Related'!K46/'Pro Forma IS'!J$10)*('Pro Forma IS'!J$10-$P41)</f>
        <v>31715.908049999995</v>
      </c>
      <c r="K41" s="29">
        <f>(('Patient Related'!K46/'Pro Forma IS'!J$10)*$P41)+('Patient Related'!L46/'Pro Forma IS'!K$10)*('Pro Forma IS'!K$10-$P41)</f>
        <v>32590.802100000004</v>
      </c>
      <c r="L41" s="29">
        <f>SUM(G41:K41)</f>
        <v>151880.0091</v>
      </c>
      <c r="M41" s="29"/>
      <c r="O41" s="99" t="s">
        <v>221</v>
      </c>
      <c r="P41" s="100">
        <v>30</v>
      </c>
    </row>
    <row r="42" spans="2:16" ht="9.75">
      <c r="B42" s="34" t="s">
        <v>287</v>
      </c>
      <c r="G42" s="29">
        <f>('Patient Related'!H64/'Pro Forma IS'!G$10)*('Pro Forma IS'!G$10-$P42)</f>
        <v>58326.270000000004</v>
      </c>
      <c r="H42" s="29">
        <f>(('Patient Related'!H64/'Pro Forma IS'!G$10)*$P42)+('Patient Related'!I64/'Pro Forma IS'!H$10)*('Pro Forma IS'!H$10-$P42)</f>
        <v>60076.05810000001</v>
      </c>
      <c r="I42" s="29">
        <f>(('Patient Related'!I64/'Pro Forma IS'!H$10)*$P42)+('Patient Related'!J64/'Pro Forma IS'!I$10)*('Pro Forma IS'!I$10-$P42)</f>
        <v>61825.84620000001</v>
      </c>
      <c r="J42" s="29">
        <f>(('Patient Related'!J64/'Pro Forma IS'!I$10)*$P42)+('Patient Related'!K64/'Pro Forma IS'!J$10)*('Pro Forma IS'!J$10-$P42)</f>
        <v>63575.63429999999</v>
      </c>
      <c r="K42" s="29">
        <f>(('Patient Related'!K64/'Pro Forma IS'!J$10)*$P42)+('Patient Related'!L64/'Pro Forma IS'!K$10)*('Pro Forma IS'!K$10-$P42)</f>
        <v>65325.42240000001</v>
      </c>
      <c r="L42" s="29">
        <f>SUM(G42:K42)</f>
        <v>309129.231</v>
      </c>
      <c r="M42" s="29"/>
      <c r="O42" s="99"/>
      <c r="P42" s="100"/>
    </row>
    <row r="43" spans="2:13" ht="10.5">
      <c r="B43" s="85" t="s">
        <v>210</v>
      </c>
      <c r="G43" s="29"/>
      <c r="H43" s="29"/>
      <c r="I43" s="29"/>
      <c r="J43" s="29"/>
      <c r="K43" s="29"/>
      <c r="L43" s="29"/>
      <c r="M43" s="29"/>
    </row>
    <row r="44" spans="2:16" ht="9.75">
      <c r="B44" s="34" t="str">
        <f>Operations!$B14</f>
        <v>Utilities (per sq. ft.)</v>
      </c>
      <c r="G44" s="29">
        <f>(Operations!F14/'Pro Forma IS'!G$10)*('Pro Forma IS'!G$10-$P44)</f>
        <v>39649.31506849315</v>
      </c>
      <c r="H44" s="29">
        <f>((Operations!F14/'Pro Forma IS'!G$10)*$P44)+(Operations!G14/'Pro Forma IS'!H$10)*('Pro Forma IS'!H$10-$P44)</f>
        <v>44389.479452054795</v>
      </c>
      <c r="I44" s="29">
        <f>((Operations!G14/'Pro Forma IS'!H$10)*$P44)+(Operations!H14/'Pro Forma IS'!I$10)*('Pro Forma IS'!I$10-$P44)</f>
        <v>45685.479452054795</v>
      </c>
      <c r="J44" s="29">
        <f>((Operations!H14/'Pro Forma IS'!I$10)*$P44)+(Operations!I14/'Pro Forma IS'!J$10)*('Pro Forma IS'!J$10-$P44)</f>
        <v>46981.47945205479</v>
      </c>
      <c r="K44" s="29">
        <f>((Operations!I14/'Pro Forma IS'!J$10)*$P44)+(Operations!J14/'Pro Forma IS'!K$10)*('Pro Forma IS'!K$10-$P44)</f>
        <v>48277.4794520548</v>
      </c>
      <c r="L44" s="29">
        <f>SUM(G44:K44)</f>
        <v>224983.2328767123</v>
      </c>
      <c r="M44" s="29"/>
      <c r="O44" s="99" t="s">
        <v>221</v>
      </c>
      <c r="P44" s="100">
        <v>30</v>
      </c>
    </row>
    <row r="45" spans="2:16" ht="9.75">
      <c r="B45" s="34" t="str">
        <f>Operations!$B15</f>
        <v>Housekeeping &amp; Janitorial (sq. ft)</v>
      </c>
      <c r="G45" s="29">
        <f>(Operations!F15/'Pro Forma IS'!G$10)*('Pro Forma IS'!G$10-$P45)</f>
        <v>105731.50684931508</v>
      </c>
      <c r="H45" s="29">
        <f>((Operations!F15/'Pro Forma IS'!G$10)*$P45)+(Operations!G15/'Pro Forma IS'!H$10)*('Pro Forma IS'!H$10-$P45)</f>
        <v>118371.94520547945</v>
      </c>
      <c r="I45" s="29">
        <f>((Operations!G15/'Pro Forma IS'!H$10)*$P45)+(Operations!H15/'Pro Forma IS'!I$10)*('Pro Forma IS'!I$10-$P45)</f>
        <v>121827.94520547947</v>
      </c>
      <c r="J45" s="29">
        <f>((Operations!H15/'Pro Forma IS'!I$10)*$P45)+(Operations!I15/'Pro Forma IS'!J$10)*('Pro Forma IS'!J$10-$P45)</f>
        <v>125283.94520547947</v>
      </c>
      <c r="K45" s="29">
        <f>((Operations!I15/'Pro Forma IS'!J$10)*$P45)+(Operations!J15/'Pro Forma IS'!K$10)*('Pro Forma IS'!K$10-$P45)</f>
        <v>128739.94520547947</v>
      </c>
      <c r="L45" s="29">
        <f aca="true" t="shared" si="7" ref="L45:L59">SUM(G45:K45)</f>
        <v>599955.287671233</v>
      </c>
      <c r="M45" s="29"/>
      <c r="O45" s="99" t="s">
        <v>221</v>
      </c>
      <c r="P45" s="100">
        <v>30</v>
      </c>
    </row>
    <row r="46" spans="2:16" ht="9.75">
      <c r="B46" s="34" t="str">
        <f>Operations!$B16</f>
        <v>Lease of space (sq. ft)</v>
      </c>
      <c r="G46" s="29">
        <f>(Operations!F16/'Pro Forma IS'!G$10)*('Pro Forma IS'!G$10-$P46)</f>
        <v>0</v>
      </c>
      <c r="H46" s="29">
        <f>((Operations!F16/'Pro Forma IS'!G$10)*$P46)+(Operations!G16/'Pro Forma IS'!H$10)*('Pro Forma IS'!H$10-$P46)</f>
        <v>0</v>
      </c>
      <c r="I46" s="29">
        <f>((Operations!G16/'Pro Forma IS'!H$10)*$P46)+(Operations!H16/'Pro Forma IS'!I$10)*('Pro Forma IS'!I$10-$P46)</f>
        <v>0</v>
      </c>
      <c r="J46" s="29">
        <f>((Operations!H16/'Pro Forma IS'!I$10)*$P46)+(Operations!I16/'Pro Forma IS'!J$10)*('Pro Forma IS'!J$10-$P46)</f>
        <v>0</v>
      </c>
      <c r="K46" s="29">
        <f>((Operations!I16/'Pro Forma IS'!J$10)*$P46)+(Operations!J16/'Pro Forma IS'!K$10)*('Pro Forma IS'!K$10-$P46)</f>
        <v>0</v>
      </c>
      <c r="L46" s="29">
        <f t="shared" si="7"/>
        <v>0</v>
      </c>
      <c r="M46" s="29"/>
      <c r="O46" s="99" t="s">
        <v>221</v>
      </c>
      <c r="P46" s="100">
        <v>30</v>
      </c>
    </row>
    <row r="47" spans="2:16" ht="9.75">
      <c r="B47" s="34" t="str">
        <f>Operations!$B17</f>
        <v>Building Maintenance (sq. ft.)</v>
      </c>
      <c r="G47" s="29">
        <f>(Operations!F17/'Pro Forma IS'!G$10)*('Pro Forma IS'!G$10-$P47)</f>
        <v>66082.19178082192</v>
      </c>
      <c r="H47" s="29">
        <f>((Operations!F17/'Pro Forma IS'!G$10)*$P47)+(Operations!G17/'Pro Forma IS'!H$10)*('Pro Forma IS'!H$10-$P47)</f>
        <v>73982.46575342467</v>
      </c>
      <c r="I47" s="29">
        <f>((Operations!G17/'Pro Forma IS'!H$10)*$P47)+(Operations!H17/'Pro Forma IS'!I$10)*('Pro Forma IS'!I$10-$P47)</f>
        <v>76142.46575342465</v>
      </c>
      <c r="J47" s="29">
        <f>((Operations!H17/'Pro Forma IS'!I$10)*$P47)+(Operations!I17/'Pro Forma IS'!J$10)*('Pro Forma IS'!J$10-$P47)</f>
        <v>78302.46575342467</v>
      </c>
      <c r="K47" s="29">
        <f>((Operations!I17/'Pro Forma IS'!J$10)*$P47)+(Operations!J17/'Pro Forma IS'!K$10)*('Pro Forma IS'!K$10-$P47)</f>
        <v>80462.46575342467</v>
      </c>
      <c r="L47" s="29">
        <f t="shared" si="7"/>
        <v>374972.05479452055</v>
      </c>
      <c r="M47" s="29"/>
      <c r="O47" s="99" t="s">
        <v>221</v>
      </c>
      <c r="P47" s="100">
        <v>30</v>
      </c>
    </row>
    <row r="48" spans="2:16" ht="9.75">
      <c r="B48" s="34" t="str">
        <f>Operations!$B18</f>
        <v>Dietary (pt. day)*</v>
      </c>
      <c r="G48" s="29">
        <f>(Operations!F18/'Pro Forma IS'!G$10)*('Pro Forma IS'!G$10-$P48)</f>
        <v>0</v>
      </c>
      <c r="H48" s="29">
        <f>((Operations!F18/'Pro Forma IS'!G$10)*$P48)+(Operations!G18/'Pro Forma IS'!H$10)*('Pro Forma IS'!H$10-$P48)</f>
        <v>0</v>
      </c>
      <c r="I48" s="29">
        <f>((Operations!G18/'Pro Forma IS'!H$10)*$P48)+(Operations!H18/'Pro Forma IS'!I$10)*('Pro Forma IS'!I$10-$P48)</f>
        <v>0</v>
      </c>
      <c r="J48" s="29">
        <f>((Operations!H18/'Pro Forma IS'!I$10)*$P48)+(Operations!I18/'Pro Forma IS'!J$10)*('Pro Forma IS'!J$10-$P48)</f>
        <v>0</v>
      </c>
      <c r="K48" s="29">
        <f>((Operations!I18/'Pro Forma IS'!J$10)*$P48)+(Operations!J18/'Pro Forma IS'!K$10)*('Pro Forma IS'!K$10-$P48)</f>
        <v>0</v>
      </c>
      <c r="L48" s="29">
        <f t="shared" si="7"/>
        <v>0</v>
      </c>
      <c r="M48" s="29"/>
      <c r="O48" s="99" t="s">
        <v>221</v>
      </c>
      <c r="P48" s="100">
        <v>30</v>
      </c>
    </row>
    <row r="49" spans="2:16" ht="9.75">
      <c r="B49" s="34" t="str">
        <f>Operations!$B19</f>
        <v>Telephone (pt. day)</v>
      </c>
      <c r="G49" s="29">
        <f>(Operations!F19/'Pro Forma IS'!G$10)*('Pro Forma IS'!G$10-$P49)</f>
        <v>6030</v>
      </c>
      <c r="H49" s="29">
        <f>((Operations!F19/'Pro Forma IS'!G$10)*$P49)+(Operations!G19/'Pro Forma IS'!H$10)*('Pro Forma IS'!H$10-$P49)</f>
        <v>6750.900000000001</v>
      </c>
      <c r="I49" s="29">
        <f>((Operations!G19/'Pro Forma IS'!H$10)*$P49)+(Operations!H19/'Pro Forma IS'!I$10)*('Pro Forma IS'!I$10-$P49)</f>
        <v>6948</v>
      </c>
      <c r="J49" s="29">
        <f>((Operations!H19/'Pro Forma IS'!I$10)*$P49)+(Operations!I19/'Pro Forma IS'!J$10)*('Pro Forma IS'!J$10-$P49)</f>
        <v>7145.1</v>
      </c>
      <c r="K49" s="29">
        <f>((Operations!I19/'Pro Forma IS'!J$10)*$P49)+(Operations!J19/'Pro Forma IS'!K$10)*('Pro Forma IS'!K$10-$P49)</f>
        <v>7342.200000000001</v>
      </c>
      <c r="L49" s="29">
        <f t="shared" si="7"/>
        <v>34216.2</v>
      </c>
      <c r="M49" s="29"/>
      <c r="O49" s="99" t="s">
        <v>221</v>
      </c>
      <c r="P49" s="100">
        <v>30</v>
      </c>
    </row>
    <row r="50" spans="2:16" ht="9.75">
      <c r="B50" s="34" t="str">
        <f>Operations!$B20</f>
        <v>Other (pt. day)</v>
      </c>
      <c r="G50" s="29">
        <f>(Operations!F20/'Pro Forma IS'!G$10)*('Pro Forma IS'!G$10-$P50)</f>
        <v>0</v>
      </c>
      <c r="H50" s="29">
        <f>((Operations!F20/'Pro Forma IS'!G$10)*$P50)+(Operations!G20/'Pro Forma IS'!H$10)*('Pro Forma IS'!H$10-$P50)</f>
        <v>0</v>
      </c>
      <c r="I50" s="29">
        <f>((Operations!G20/'Pro Forma IS'!H$10)*$P50)+(Operations!H20/'Pro Forma IS'!I$10)*('Pro Forma IS'!I$10-$P50)</f>
        <v>0</v>
      </c>
      <c r="J50" s="29">
        <f>((Operations!H20/'Pro Forma IS'!I$10)*$P50)+(Operations!I20/'Pro Forma IS'!J$10)*('Pro Forma IS'!J$10-$P50)</f>
        <v>0</v>
      </c>
      <c r="K50" s="29">
        <f>((Operations!I20/'Pro Forma IS'!J$10)*$P50)+(Operations!J20/'Pro Forma IS'!K$10)*('Pro Forma IS'!K$10-$P50)</f>
        <v>0</v>
      </c>
      <c r="L50" s="29">
        <f t="shared" si="7"/>
        <v>0</v>
      </c>
      <c r="M50" s="29"/>
      <c r="O50" s="99" t="s">
        <v>221</v>
      </c>
      <c r="P50" s="100">
        <v>30</v>
      </c>
    </row>
    <row r="51" spans="2:16" ht="9.75">
      <c r="B51" s="34" t="str">
        <f>Operations!$B21</f>
        <v>Interest Expense</v>
      </c>
      <c r="G51" s="29">
        <f>(Operations!F21/'Pro Forma IS'!G$10)*('Pro Forma IS'!G$10-$P51)</f>
        <v>0</v>
      </c>
      <c r="H51" s="29">
        <f>((Operations!F21/'Pro Forma IS'!G$10)*$P51)+(Operations!G21/'Pro Forma IS'!H$10)*('Pro Forma IS'!H$10-$P51)</f>
        <v>0</v>
      </c>
      <c r="I51" s="29">
        <f>((Operations!G21/'Pro Forma IS'!H$10)*$P51)+(Operations!H21/'Pro Forma IS'!I$10)*('Pro Forma IS'!I$10-$P51)</f>
        <v>0</v>
      </c>
      <c r="J51" s="29">
        <f>((Operations!H21/'Pro Forma IS'!I$10)*$P51)+(Operations!I21/'Pro Forma IS'!J$10)*('Pro Forma IS'!J$10-$P51)</f>
        <v>0</v>
      </c>
      <c r="K51" s="29">
        <f>((Operations!I21/'Pro Forma IS'!J$10)*$P51)+(Operations!J21/'Pro Forma IS'!K$10)*('Pro Forma IS'!K$10-$P51)</f>
        <v>0</v>
      </c>
      <c r="L51" s="29">
        <f t="shared" si="7"/>
        <v>0</v>
      </c>
      <c r="M51" s="29"/>
      <c r="O51" s="99" t="s">
        <v>221</v>
      </c>
      <c r="P51" s="100">
        <v>30</v>
      </c>
    </row>
    <row r="52" spans="2:16" ht="9.75">
      <c r="B52" s="34" t="str">
        <f>Operations!$B22</f>
        <v>Secondary Loan</v>
      </c>
      <c r="G52" s="29">
        <f>(Operations!F22/'Pro Forma IS'!G$10)*('Pro Forma IS'!G$10-$P52)</f>
        <v>0</v>
      </c>
      <c r="H52" s="29">
        <f>((Operations!F22/'Pro Forma IS'!G$10)*$P52)+(Operations!G22/'Pro Forma IS'!H$10)*('Pro Forma IS'!H$10-$P52)</f>
        <v>0</v>
      </c>
      <c r="I52" s="29">
        <f>((Operations!G22/'Pro Forma IS'!H$10)*$P52)+(Operations!H22/'Pro Forma IS'!I$10)*('Pro Forma IS'!I$10-$P52)</f>
        <v>0</v>
      </c>
      <c r="J52" s="29">
        <f>((Operations!H22/'Pro Forma IS'!I$10)*$P52)+(Operations!I22/'Pro Forma IS'!J$10)*('Pro Forma IS'!J$10-$P52)</f>
        <v>0</v>
      </c>
      <c r="K52" s="29">
        <f>((Operations!I22/'Pro Forma IS'!J$10)*$P52)+(Operations!J22/'Pro Forma IS'!K$10)*('Pro Forma IS'!K$10-$P52)</f>
        <v>0</v>
      </c>
      <c r="L52" s="29">
        <f>SUM(G52:K52)</f>
        <v>0</v>
      </c>
      <c r="M52" s="29"/>
      <c r="O52" s="99" t="s">
        <v>221</v>
      </c>
      <c r="P52" s="100">
        <v>30</v>
      </c>
    </row>
    <row r="53" spans="2:16" ht="9.75">
      <c r="B53" s="34" t="str">
        <f>Operations!$B23</f>
        <v>Landscaping &amp; Snow Removal</v>
      </c>
      <c r="G53" s="29">
        <f>(Operations!F23/'Pro Forma IS'!G$10)*('Pro Forma IS'!G$10-$P53)</f>
        <v>22945.205479452055</v>
      </c>
      <c r="H53" s="29">
        <f>((Operations!F23/'Pro Forma IS'!G$10)*$P53)+(Operations!G23/'Pro Forma IS'!H$10)*('Pro Forma IS'!H$10-$P53)</f>
        <v>25688.35616438356</v>
      </c>
      <c r="I53" s="29">
        <f>((Operations!G23/'Pro Forma IS'!H$10)*$P53)+(Operations!H23/'Pro Forma IS'!I$10)*('Pro Forma IS'!I$10-$P53)</f>
        <v>26438.35616438356</v>
      </c>
      <c r="J53" s="29">
        <f>((Operations!H23/'Pro Forma IS'!I$10)*$P53)+(Operations!I23/'Pro Forma IS'!J$10)*('Pro Forma IS'!J$10-$P53)</f>
        <v>27188.356164383564</v>
      </c>
      <c r="K53" s="29">
        <f>((Operations!I23/'Pro Forma IS'!J$10)*$P53)+(Operations!J23/'Pro Forma IS'!K$10)*('Pro Forma IS'!K$10-$P53)</f>
        <v>27938.356164383564</v>
      </c>
      <c r="L53" s="29">
        <f t="shared" si="7"/>
        <v>130198.63013698629</v>
      </c>
      <c r="M53" s="29"/>
      <c r="O53" s="99" t="s">
        <v>221</v>
      </c>
      <c r="P53" s="100">
        <v>30</v>
      </c>
    </row>
    <row r="54" spans="2:16" ht="9.75">
      <c r="B54" s="34" t="str">
        <f>Operations!$B24</f>
        <v>Room Rental (use if renting beds)</v>
      </c>
      <c r="G54" s="29">
        <f>(Operations!F24/'Pro Forma IS'!G$10)*('Pro Forma IS'!G$10-$P54)</f>
        <v>0</v>
      </c>
      <c r="H54" s="29">
        <f>((Operations!F24/'Pro Forma IS'!G$10)*$P54)+(Operations!G24/'Pro Forma IS'!H$10)*('Pro Forma IS'!H$10-$P54)</f>
        <v>0</v>
      </c>
      <c r="I54" s="29">
        <f>((Operations!G24/'Pro Forma IS'!H$10)*$P54)+(Operations!H24/'Pro Forma IS'!I$10)*('Pro Forma IS'!I$10-$P54)</f>
        <v>0</v>
      </c>
      <c r="J54" s="29">
        <f>((Operations!H24/'Pro Forma IS'!I$10)*$P54)+(Operations!I24/'Pro Forma IS'!J$10)*('Pro Forma IS'!J$10-$P54)</f>
        <v>0</v>
      </c>
      <c r="K54" s="29">
        <f>((Operations!I24/'Pro Forma IS'!J$10)*$P54)+(Operations!J24/'Pro Forma IS'!K$10)*('Pro Forma IS'!K$10-$P54)</f>
        <v>0</v>
      </c>
      <c r="L54" s="29">
        <f t="shared" si="7"/>
        <v>0</v>
      </c>
      <c r="M54" s="29"/>
      <c r="O54" s="99" t="s">
        <v>221</v>
      </c>
      <c r="P54" s="100">
        <v>30</v>
      </c>
    </row>
    <row r="55" spans="2:16" ht="9.75">
      <c r="B55" s="34" t="str">
        <f>Operations!$B25</f>
        <v>Additional Insurance</v>
      </c>
      <c r="G55" s="29">
        <f>(Operations!F25/'Pro Forma IS'!G$10)*('Pro Forma IS'!G$10-$P55)</f>
        <v>11013.698630136987</v>
      </c>
      <c r="H55" s="29">
        <f>((Operations!F25/'Pro Forma IS'!G$10)*$P55)+(Operations!G25/'Pro Forma IS'!H$10)*('Pro Forma IS'!H$10-$P55)</f>
        <v>12330.410958904107</v>
      </c>
      <c r="I55" s="29">
        <f>((Operations!G25/'Pro Forma IS'!H$10)*$P55)+(Operations!H25/'Pro Forma IS'!I$10)*('Pro Forma IS'!I$10-$P55)</f>
        <v>12690.410958904109</v>
      </c>
      <c r="J55" s="29">
        <f>((Operations!H25/'Pro Forma IS'!I$10)*$P55)+(Operations!I25/'Pro Forma IS'!J$10)*('Pro Forma IS'!J$10-$P55)</f>
        <v>13050.41095890411</v>
      </c>
      <c r="K55" s="29">
        <f>((Operations!I25/'Pro Forma IS'!J$10)*$P55)+(Operations!J25/'Pro Forma IS'!K$10)*('Pro Forma IS'!K$10-$P55)</f>
        <v>13410.410958904113</v>
      </c>
      <c r="L55" s="29">
        <f t="shared" si="7"/>
        <v>62495.34246575343</v>
      </c>
      <c r="M55" s="29"/>
      <c r="O55" s="99" t="s">
        <v>221</v>
      </c>
      <c r="P55" s="100">
        <v>30</v>
      </c>
    </row>
    <row r="56" spans="2:16" ht="9.75">
      <c r="B56" s="34" t="str">
        <f>Operations!$B26</f>
        <v>Computer (PCs, lines, software)</v>
      </c>
      <c r="G56" s="29">
        <f>(Operations!F26/'Pro Forma IS'!G$10)*('Pro Forma IS'!G$10-$P56)</f>
        <v>18356.164383561645</v>
      </c>
      <c r="H56" s="29">
        <f>((Operations!F26/'Pro Forma IS'!G$10)*$P56)+(Operations!G26/'Pro Forma IS'!H$10)*('Pro Forma IS'!H$10-$P56)</f>
        <v>20550.68493150685</v>
      </c>
      <c r="I56" s="29">
        <f>((Operations!G26/'Pro Forma IS'!H$10)*$P56)+(Operations!H26/'Pro Forma IS'!I$10)*('Pro Forma IS'!I$10-$P56)</f>
        <v>21150.68493150685</v>
      </c>
      <c r="J56" s="29">
        <f>((Operations!H26/'Pro Forma IS'!I$10)*$P56)+(Operations!I26/'Pro Forma IS'!J$10)*('Pro Forma IS'!J$10-$P56)</f>
        <v>21750.68493150685</v>
      </c>
      <c r="K56" s="29">
        <f>((Operations!I26/'Pro Forma IS'!J$10)*$P56)+(Operations!J26/'Pro Forma IS'!K$10)*('Pro Forma IS'!K$10-$P56)</f>
        <v>22350.684931506854</v>
      </c>
      <c r="L56" s="29">
        <f t="shared" si="7"/>
        <v>104158.90410958906</v>
      </c>
      <c r="M56" s="29"/>
      <c r="O56" s="99" t="s">
        <v>221</v>
      </c>
      <c r="P56" s="100">
        <v>30</v>
      </c>
    </row>
    <row r="57" spans="2:16" ht="9.75">
      <c r="B57" s="34" t="str">
        <f>Operations!$B27</f>
        <v>spare</v>
      </c>
      <c r="G57" s="29">
        <f>(Operations!F27/'Pro Forma IS'!G$10)*('Pro Forma IS'!$G10-$P57)</f>
        <v>0</v>
      </c>
      <c r="H57" s="29">
        <f>((Operations!F27/'Pro Forma IS'!G$10)*$P57)+(Operations!G27/'Pro Forma IS'!H$10)*('Pro Forma IS'!H$10-$P57)</f>
        <v>0</v>
      </c>
      <c r="I57" s="29">
        <f>((Operations!G27/'Pro Forma IS'!H$10)*$P57)+(Operations!H27/'Pro Forma IS'!I$10)*('Pro Forma IS'!I$10-$P57)</f>
        <v>0</v>
      </c>
      <c r="J57" s="29">
        <f>((Operations!H27/'Pro Forma IS'!I$10)*$P57)+(Operations!I27/'Pro Forma IS'!J$10)*('Pro Forma IS'!J$10-$P57)</f>
        <v>0</v>
      </c>
      <c r="K57" s="29">
        <f>((Operations!I27/'Pro Forma IS'!J$10)*$P57)+(Operations!J27/'Pro Forma IS'!K$10)*('Pro Forma IS'!K$10-$P57)</f>
        <v>0</v>
      </c>
      <c r="L57" s="29">
        <f t="shared" si="7"/>
        <v>0</v>
      </c>
      <c r="M57" s="29"/>
      <c r="O57" s="99" t="s">
        <v>221</v>
      </c>
      <c r="P57" s="100">
        <v>30</v>
      </c>
    </row>
    <row r="58" spans="2:16" ht="9.75">
      <c r="B58" s="34" t="str">
        <f>Operations!$B28</f>
        <v>Contingency</v>
      </c>
      <c r="G58" s="29">
        <f>(Operations!F28/'Pro Forma IS'!G$10)*('Pro Forma IS'!$G10-$P58)</f>
        <v>68835.61643835616</v>
      </c>
      <c r="H58" s="29">
        <f>((Operations!F28/'Pro Forma IS'!G$10)*$P58)+(Operations!G28/'Pro Forma IS'!H$10)*('Pro Forma IS'!H$10-$P58)</f>
        <v>77065.06849315068</v>
      </c>
      <c r="I58" s="29">
        <f>((Operations!G28/'Pro Forma IS'!H$10)*$P58)+(Operations!H28/'Pro Forma IS'!I$10)*('Pro Forma IS'!I$10-$P58)</f>
        <v>79315.06849315068</v>
      </c>
      <c r="J58" s="29">
        <f>((Operations!H28/'Pro Forma IS'!I$10)*$P58)+(Operations!I28/'Pro Forma IS'!J$10)*('Pro Forma IS'!J$10-$P58)</f>
        <v>81565.06849315068</v>
      </c>
      <c r="K58" s="29">
        <f>((Operations!I28/'Pro Forma IS'!J$10)*$P58)+(Operations!J28/'Pro Forma IS'!K$10)*('Pro Forma IS'!K$10-$P58)</f>
        <v>83815.0684931507</v>
      </c>
      <c r="L58" s="29">
        <f t="shared" si="7"/>
        <v>390595.8904109589</v>
      </c>
      <c r="M58" s="29"/>
      <c r="O58" s="99" t="s">
        <v>221</v>
      </c>
      <c r="P58" s="100">
        <v>30</v>
      </c>
    </row>
    <row r="59" spans="2:16" ht="9.75">
      <c r="B59" s="34" t="str">
        <f>Operations!$B29</f>
        <v>Miscellaneous and Adminstrative</v>
      </c>
      <c r="G59" s="29">
        <f>(Operations!F29/'Pro Forma IS'!G$10)*('Pro Forma IS'!$G10-$P59)</f>
        <v>91780.82191780822</v>
      </c>
      <c r="H59" s="29">
        <f>((Operations!F29/'Pro Forma IS'!G$10)*$P59)+(Operations!G29/'Pro Forma IS'!H$10)*('Pro Forma IS'!H$10-$P59)</f>
        <v>102753.42465753424</v>
      </c>
      <c r="I59" s="29">
        <f>((Operations!G29/'Pro Forma IS'!H$10)*$P59)+(Operations!H29/'Pro Forma IS'!I$10)*('Pro Forma IS'!I$10-$P59)</f>
        <v>105753.42465753424</v>
      </c>
      <c r="J59" s="29">
        <f>((Operations!H29/'Pro Forma IS'!I$10)*$P59)+(Operations!I29/'Pro Forma IS'!J$10)*('Pro Forma IS'!J$10-$P59)</f>
        <v>108753.42465753425</v>
      </c>
      <c r="K59" s="29">
        <f>((Operations!I29/'Pro Forma IS'!J$10)*$P59)+(Operations!J29/'Pro Forma IS'!K$10)*('Pro Forma IS'!K$10-$P59)</f>
        <v>111753.42465753425</v>
      </c>
      <c r="L59" s="29">
        <f t="shared" si="7"/>
        <v>520794.52054794517</v>
      </c>
      <c r="M59" s="29"/>
      <c r="O59" s="99" t="s">
        <v>221</v>
      </c>
      <c r="P59" s="100">
        <v>30</v>
      </c>
    </row>
    <row r="60" spans="4:13" ht="10.5">
      <c r="D60" s="85" t="s">
        <v>211</v>
      </c>
      <c r="G60" s="31">
        <f aca="true" t="shared" si="8" ref="G60:L60">SUM(G38:G59)</f>
        <v>2499512.3721586326</v>
      </c>
      <c r="H60" s="31">
        <f t="shared" si="8"/>
        <v>2661242.613905217</v>
      </c>
      <c r="I60" s="31">
        <f t="shared" si="8"/>
        <v>2738830.3311874312</v>
      </c>
      <c r="J60" s="31">
        <f t="shared" si="8"/>
        <v>2816418.048469645</v>
      </c>
      <c r="K60" s="31">
        <f t="shared" si="8"/>
        <v>2894005.7657518587</v>
      </c>
      <c r="L60" s="31">
        <f t="shared" si="8"/>
        <v>13610009.131472783</v>
      </c>
      <c r="M60" s="29"/>
    </row>
    <row r="61" spans="7:13" ht="9.75">
      <c r="G61" s="29"/>
      <c r="H61" s="29"/>
      <c r="I61" s="29"/>
      <c r="J61" s="29"/>
      <c r="K61" s="29"/>
      <c r="L61" s="29"/>
      <c r="M61" s="29"/>
    </row>
    <row r="62" spans="2:13" ht="10.5" thickBot="1">
      <c r="B62" s="85" t="s">
        <v>212</v>
      </c>
      <c r="G62" s="33">
        <f>G34-G60</f>
        <v>346582.3035213677</v>
      </c>
      <c r="H62" s="33">
        <f>H5+H34-H60</f>
        <v>882437.392452951</v>
      </c>
      <c r="I62" s="33">
        <f>I5+I34-I60</f>
        <v>1343930.1849063202</v>
      </c>
      <c r="J62" s="33">
        <f>J5+J34-J60</f>
        <v>1727835.2600774756</v>
      </c>
      <c r="K62" s="33">
        <f>K5+K34-K60</f>
        <v>2034152.6179664177</v>
      </c>
      <c r="L62" s="30"/>
      <c r="M62" s="29"/>
    </row>
    <row r="63" ht="10.5" thickTop="1"/>
    <row r="65" spans="10:12" ht="12">
      <c r="J65" s="43" t="s">
        <v>160</v>
      </c>
      <c r="K65" s="44" t="str">
        <f>Name</f>
        <v>Sunny Day Hospice</v>
      </c>
      <c r="L65" s="45"/>
    </row>
    <row r="66" spans="10:12" ht="12">
      <c r="J66" s="43" t="s">
        <v>161</v>
      </c>
      <c r="K66" s="44" t="str">
        <f>CON.Number</f>
        <v>XX-XXX</v>
      </c>
      <c r="L66" s="45"/>
    </row>
    <row r="67" spans="10:12" ht="9.75">
      <c r="J67" s="43" t="s">
        <v>162</v>
      </c>
      <c r="K67" s="46" t="s">
        <v>167</v>
      </c>
      <c r="L67" s="47" t="str">
        <f>state</f>
        <v>GA</v>
      </c>
    </row>
    <row r="68" spans="10:12" ht="9.75">
      <c r="J68" s="43" t="s">
        <v>163</v>
      </c>
      <c r="K68" s="48">
        <v>1</v>
      </c>
      <c r="L68" s="49" t="str">
        <f>Submission.Date</f>
        <v>3/30/17</v>
      </c>
    </row>
  </sheetData>
  <sheetProtection password="DFAD" sheet="1" objects="1" scenarios="1"/>
  <printOptions/>
  <pageMargins left="0.75" right="0.75" top="1" bottom="1" header="0.5" footer="0.5"/>
  <pageSetup horizontalDpi="600" verticalDpi="600" orientation="portrait" scale="85" r:id="rId1"/>
</worksheet>
</file>

<file path=xl/worksheets/sheet17.xml><?xml version="1.0" encoding="utf-8"?>
<worksheet xmlns="http://schemas.openxmlformats.org/spreadsheetml/2006/main" xmlns:r="http://schemas.openxmlformats.org/officeDocument/2006/relationships">
  <sheetPr>
    <tabColor theme="5" tint="-0.24997000396251678"/>
  </sheetPr>
  <dimension ref="A1:I28"/>
  <sheetViews>
    <sheetView showGridLines="0" zoomScalePageLayoutView="0" workbookViewId="0" topLeftCell="A1">
      <selection activeCell="B18" sqref="B18"/>
    </sheetView>
  </sheetViews>
  <sheetFormatPr defaultColWidth="9.140625" defaultRowHeight="12.75"/>
  <cols>
    <col min="1" max="1" width="6.140625" style="0" customWidth="1"/>
    <col min="2" max="2" width="8.00390625" style="0" customWidth="1"/>
    <col min="3" max="3" width="11.421875" style="0" customWidth="1"/>
    <col min="4" max="4" width="11.28125" style="0" customWidth="1"/>
    <col min="5" max="5" width="5.7109375" style="0" customWidth="1"/>
    <col min="6" max="6" width="8.421875" style="0" customWidth="1"/>
    <col min="7" max="7" width="20.7109375" style="0" customWidth="1"/>
    <col min="8" max="8" width="13.28125" style="0" customWidth="1"/>
    <col min="9" max="9" width="12.7109375" style="0" customWidth="1"/>
  </cols>
  <sheetData>
    <row r="1" spans="1:9" ht="18">
      <c r="A1" s="3" t="s">
        <v>116</v>
      </c>
      <c r="G1" s="6" t="s">
        <v>160</v>
      </c>
      <c r="H1" s="7" t="str">
        <f>Name</f>
        <v>Sunny Day Hospice</v>
      </c>
      <c r="I1" s="8"/>
    </row>
    <row r="2" spans="1:9" ht="18">
      <c r="A2" s="3"/>
      <c r="G2" s="6" t="s">
        <v>161</v>
      </c>
      <c r="H2" s="7" t="str">
        <f>CON.Number</f>
        <v>XX-XXX</v>
      </c>
      <c r="I2" s="8"/>
    </row>
    <row r="3" spans="1:9" ht="18">
      <c r="A3" s="3"/>
      <c r="G3" s="6" t="s">
        <v>162</v>
      </c>
      <c r="H3" s="11" t="s">
        <v>164</v>
      </c>
      <c r="I3" s="9" t="str">
        <f>state</f>
        <v>GA</v>
      </c>
    </row>
    <row r="4" spans="1:9" ht="18">
      <c r="A4" s="3"/>
      <c r="G4" s="6" t="s">
        <v>163</v>
      </c>
      <c r="H4" s="12">
        <v>1</v>
      </c>
      <c r="I4" s="10" t="str">
        <f>Submission.Date</f>
        <v>3/30/17</v>
      </c>
    </row>
    <row r="6" ht="12.75">
      <c r="B6" s="26" t="s">
        <v>375</v>
      </c>
    </row>
    <row r="7" ht="12.75">
      <c r="B7" s="2" t="s">
        <v>133</v>
      </c>
    </row>
    <row r="8" spans="2:4" ht="12.75">
      <c r="B8" s="2" t="s">
        <v>260</v>
      </c>
      <c r="C8" s="25">
        <f>Utilization!$E$6</f>
        <v>12</v>
      </c>
      <c r="D8" s="2" t="s">
        <v>261</v>
      </c>
    </row>
    <row r="9" ht="12.75">
      <c r="B9" s="2"/>
    </row>
    <row r="10" ht="12.75">
      <c r="B10" s="2" t="s">
        <v>251</v>
      </c>
    </row>
    <row r="11" spans="2:5" ht="12.75">
      <c r="B11" s="2" t="s">
        <v>252</v>
      </c>
      <c r="E11" s="21">
        <f>Revenue!$D$15</f>
        <v>0.85</v>
      </c>
    </row>
    <row r="12" spans="2:5" ht="12.75">
      <c r="B12" s="2" t="s">
        <v>253</v>
      </c>
      <c r="E12" s="22">
        <f>Revenue!$D$23</f>
        <v>-0.02</v>
      </c>
    </row>
    <row r="13" spans="2:5" ht="12.75">
      <c r="B13" s="2" t="s">
        <v>254</v>
      </c>
      <c r="E13" s="21">
        <f>Revenue!$D$18</f>
        <v>0.04</v>
      </c>
    </row>
    <row r="14" spans="2:6" ht="12.75">
      <c r="B14" s="2" t="s">
        <v>255</v>
      </c>
      <c r="E14" s="21">
        <f>Staffing!$E$166</f>
        <v>0.22</v>
      </c>
      <c r="F14" s="23" t="s">
        <v>407</v>
      </c>
    </row>
    <row r="15" spans="2:8" ht="12.75">
      <c r="B15" s="2" t="s">
        <v>135</v>
      </c>
      <c r="H15" s="4"/>
    </row>
    <row r="16" spans="2:8" ht="12.75">
      <c r="B16" s="2" t="s">
        <v>125</v>
      </c>
      <c r="H16" s="4"/>
    </row>
    <row r="17" spans="2:8" ht="12.75">
      <c r="B17" s="2" t="s">
        <v>408</v>
      </c>
      <c r="H17" s="4"/>
    </row>
    <row r="19" ht="12.75">
      <c r="B19" s="2" t="s">
        <v>117</v>
      </c>
    </row>
    <row r="20" spans="3:8" ht="12.75">
      <c r="C20" t="s">
        <v>134</v>
      </c>
      <c r="H20" s="217">
        <v>0</v>
      </c>
    </row>
    <row r="21" spans="3:8" ht="12.75">
      <c r="C21" t="s">
        <v>118</v>
      </c>
      <c r="H21" s="217">
        <v>0</v>
      </c>
    </row>
    <row r="22" spans="3:8" ht="12.75">
      <c r="C22" t="s">
        <v>328</v>
      </c>
      <c r="H22" s="5">
        <f>$C$25</f>
        <v>0</v>
      </c>
    </row>
    <row r="23" spans="3:8" ht="12.75">
      <c r="C23" t="s">
        <v>329</v>
      </c>
      <c r="H23" s="216">
        <f>'Extra Loan Payment Calc'!$D$3</f>
        <v>0</v>
      </c>
    </row>
    <row r="24" ht="12.75">
      <c r="H24" s="5"/>
    </row>
    <row r="25" spans="2:8" ht="12.75">
      <c r="B25" s="2" t="s">
        <v>256</v>
      </c>
      <c r="C25" s="24">
        <f>'Loan Payment Calc'!$D$3</f>
        <v>0</v>
      </c>
      <c r="D25" s="2" t="s">
        <v>257</v>
      </c>
      <c r="E25" s="25">
        <f>'Loan Payment Calc'!$D$5/12</f>
        <v>10</v>
      </c>
      <c r="F25" s="2" t="s">
        <v>258</v>
      </c>
      <c r="G25" s="22">
        <f>'Loan Payment Calc'!$D$4</f>
        <v>0.029</v>
      </c>
      <c r="H25" s="5"/>
    </row>
    <row r="26" spans="2:8" ht="12.75">
      <c r="B26" s="2" t="s">
        <v>256</v>
      </c>
      <c r="C26" s="24">
        <f>'Extra Loan Payment Calc'!$D$3</f>
        <v>0</v>
      </c>
      <c r="D26" s="2" t="s">
        <v>257</v>
      </c>
      <c r="E26" s="25">
        <f>('Extra Loan Payment Calc'!$D$5)/12</f>
        <v>5</v>
      </c>
      <c r="F26" s="2" t="s">
        <v>258</v>
      </c>
      <c r="G26" s="22">
        <f>'Extra Loan Payment Calc'!$D$4</f>
        <v>0.05</v>
      </c>
      <c r="H26" s="5"/>
    </row>
    <row r="27" ht="12.75">
      <c r="H27" s="5"/>
    </row>
    <row r="28" spans="2:9" ht="12.75">
      <c r="B28" s="2" t="s">
        <v>276</v>
      </c>
      <c r="H28" s="28">
        <f>'Pro Forma IS'!$L$36/5</f>
        <v>0</v>
      </c>
      <c r="I28" s="27" t="s">
        <v>277</v>
      </c>
    </row>
  </sheetData>
  <sheetProtection/>
  <printOptions/>
  <pageMargins left="0" right="0" top="1" bottom="1" header="0.5" footer="0.5"/>
  <pageSetup horizontalDpi="600" verticalDpi="600" orientation="portrait" r:id="rId3"/>
  <headerFooter alignWithMargins="0">
    <oddFooter>&amp;R&amp;F  &amp;A</oddFooter>
  </headerFooter>
  <legacyDrawing r:id="rId2"/>
</worksheet>
</file>

<file path=xl/worksheets/sheet18.xml><?xml version="1.0" encoding="utf-8"?>
<worksheet xmlns="http://schemas.openxmlformats.org/spreadsheetml/2006/main" xmlns:r="http://schemas.openxmlformats.org/officeDocument/2006/relationships">
  <sheetPr>
    <tabColor theme="5" tint="-0.24997000396251678"/>
  </sheetPr>
  <dimension ref="A1:H25"/>
  <sheetViews>
    <sheetView showGridLines="0" zoomScalePageLayoutView="0" workbookViewId="0" topLeftCell="A1">
      <selection activeCell="J16" sqref="J16"/>
    </sheetView>
  </sheetViews>
  <sheetFormatPr defaultColWidth="9.140625" defaultRowHeight="12.75"/>
  <cols>
    <col min="1" max="2" width="9.140625" style="42" customWidth="1"/>
    <col min="3" max="3" width="11.28125" style="42" customWidth="1"/>
    <col min="4" max="4" width="13.57421875" style="42" customWidth="1"/>
    <col min="5" max="5" width="15.140625" style="42" customWidth="1"/>
    <col min="6" max="6" width="13.7109375" style="42" customWidth="1"/>
    <col min="7" max="16384" width="9.140625" style="42" customWidth="1"/>
  </cols>
  <sheetData>
    <row r="1" ht="15">
      <c r="A1" s="60" t="s">
        <v>376</v>
      </c>
    </row>
    <row r="3" spans="3:8" ht="15">
      <c r="C3" s="61"/>
      <c r="D3" s="61"/>
      <c r="E3" s="62"/>
      <c r="F3" s="63"/>
      <c r="G3" s="63"/>
      <c r="H3" s="63"/>
    </row>
    <row r="5" ht="12.75">
      <c r="C5" s="64" t="s">
        <v>227</v>
      </c>
    </row>
    <row r="7" spans="3:6" ht="12.75">
      <c r="C7" s="51" t="s">
        <v>240</v>
      </c>
      <c r="D7" s="51" t="s">
        <v>241</v>
      </c>
      <c r="E7" s="51" t="s">
        <v>96</v>
      </c>
      <c r="F7" s="65" t="s">
        <v>228</v>
      </c>
    </row>
    <row r="8" spans="3:6" ht="12.75">
      <c r="C8" s="66" t="s">
        <v>233</v>
      </c>
      <c r="D8" s="66" t="s">
        <v>234</v>
      </c>
      <c r="E8" s="66" t="s">
        <v>231</v>
      </c>
      <c r="F8" s="67" t="s">
        <v>181</v>
      </c>
    </row>
    <row r="9" spans="3:6" ht="12.75">
      <c r="C9" s="66" t="s">
        <v>232</v>
      </c>
      <c r="D9" s="66" t="s">
        <v>235</v>
      </c>
      <c r="E9" s="66" t="s">
        <v>228</v>
      </c>
      <c r="F9" s="67" t="s">
        <v>229</v>
      </c>
    </row>
    <row r="10" spans="3:6" ht="12.75">
      <c r="C10" s="53" t="s">
        <v>181</v>
      </c>
      <c r="D10" s="53" t="s">
        <v>236</v>
      </c>
      <c r="E10" s="53" t="s">
        <v>181</v>
      </c>
      <c r="F10" s="68" t="s">
        <v>230</v>
      </c>
    </row>
    <row r="11" spans="3:7" ht="12">
      <c r="C11" s="209">
        <v>25</v>
      </c>
      <c r="D11" s="210">
        <v>0.82</v>
      </c>
      <c r="E11" s="42">
        <f>C11*D11*0.2</f>
        <v>4.1000000000000005</v>
      </c>
      <c r="F11" s="69">
        <f>'Pro Forma IS'!$G$4*Revenue!$D$15</f>
        <v>6.8</v>
      </c>
      <c r="G11" s="70"/>
    </row>
    <row r="14" ht="12.75">
      <c r="C14" s="64" t="s">
        <v>237</v>
      </c>
    </row>
    <row r="16" spans="3:6" ht="12.75">
      <c r="C16" s="51" t="s">
        <v>241</v>
      </c>
      <c r="D16" s="51" t="s">
        <v>241</v>
      </c>
      <c r="E16" s="51" t="s">
        <v>96</v>
      </c>
      <c r="F16" s="65" t="s">
        <v>247</v>
      </c>
    </row>
    <row r="17" spans="3:6" ht="12.75">
      <c r="C17" s="66" t="s">
        <v>232</v>
      </c>
      <c r="D17" s="66" t="s">
        <v>242</v>
      </c>
      <c r="E17" s="66" t="s">
        <v>231</v>
      </c>
      <c r="F17" s="67" t="s">
        <v>248</v>
      </c>
    </row>
    <row r="18" spans="3:6" ht="12.75">
      <c r="C18" s="66" t="s">
        <v>238</v>
      </c>
      <c r="D18" s="66" t="s">
        <v>243</v>
      </c>
      <c r="E18" s="66" t="s">
        <v>97</v>
      </c>
      <c r="F18" s="67" t="s">
        <v>383</v>
      </c>
    </row>
    <row r="19" spans="3:6" ht="12.75">
      <c r="C19" s="66" t="s">
        <v>146</v>
      </c>
      <c r="D19" s="66" t="s">
        <v>29</v>
      </c>
      <c r="E19" s="66" t="s">
        <v>245</v>
      </c>
      <c r="F19" s="67" t="s">
        <v>249</v>
      </c>
    </row>
    <row r="20" spans="3:6" ht="12.75">
      <c r="C20" s="66" t="s">
        <v>239</v>
      </c>
      <c r="D20" s="66" t="s">
        <v>244</v>
      </c>
      <c r="E20" s="66" t="s">
        <v>246</v>
      </c>
      <c r="F20" s="71" t="s">
        <v>250</v>
      </c>
    </row>
    <row r="21" spans="3:6" ht="12.75">
      <c r="C21" s="53"/>
      <c r="D21" s="53"/>
      <c r="E21" s="53" t="s">
        <v>146</v>
      </c>
      <c r="F21" s="68"/>
    </row>
    <row r="22" spans="3:6" ht="12">
      <c r="C22" s="209">
        <v>100</v>
      </c>
      <c r="D22" s="211">
        <v>22386</v>
      </c>
      <c r="E22" s="72">
        <f>C22*D22</f>
        <v>2238600</v>
      </c>
      <c r="F22" s="212">
        <v>0</v>
      </c>
    </row>
    <row r="25" ht="12">
      <c r="B25" s="59" t="str">
        <f>Reserved</f>
        <v>This product was created by Multi-View Incorporated.  It is reserved for the exclusive use of MVI clients. Need help?  828-698-5885</v>
      </c>
    </row>
  </sheetData>
  <sheetProtection password="DFAD" sheet="1" objects="1" scenarios="1"/>
  <printOptions/>
  <pageMargins left="0.75" right="0.75" top="1" bottom="1" header="0.5" footer="0.5"/>
  <pageSetup horizontalDpi="600" verticalDpi="600" orientation="portrait" r:id="rId1"/>
</worksheet>
</file>

<file path=xl/worksheets/sheet19.xml><?xml version="1.0" encoding="utf-8"?>
<worksheet xmlns="http://schemas.openxmlformats.org/spreadsheetml/2006/main" xmlns:r="http://schemas.openxmlformats.org/officeDocument/2006/relationships">
  <dimension ref="A1:N16"/>
  <sheetViews>
    <sheetView showGridLines="0" zoomScalePageLayoutView="0" workbookViewId="0" topLeftCell="A1">
      <selection activeCell="K25" sqref="K25"/>
    </sheetView>
  </sheetViews>
  <sheetFormatPr defaultColWidth="9.140625" defaultRowHeight="12.75"/>
  <cols>
    <col min="1" max="1" width="3.28125" style="0" customWidth="1"/>
    <col min="2" max="2" width="5.140625" style="0" customWidth="1"/>
  </cols>
  <sheetData>
    <row r="1" ht="18">
      <c r="A1" s="13" t="s">
        <v>169</v>
      </c>
    </row>
    <row r="4" spans="2:6" ht="15">
      <c r="B4" s="15" t="s">
        <v>170</v>
      </c>
      <c r="C4" s="14"/>
      <c r="D4" s="14"/>
      <c r="E4" s="14"/>
      <c r="F4" s="1"/>
    </row>
    <row r="5" spans="2:6" ht="15">
      <c r="B5" s="14"/>
      <c r="C5" s="14" t="s">
        <v>24</v>
      </c>
      <c r="D5" s="14"/>
      <c r="E5" s="14"/>
      <c r="F5" s="1"/>
    </row>
    <row r="6" spans="2:6" ht="15">
      <c r="B6" s="14"/>
      <c r="C6" s="14" t="s">
        <v>25</v>
      </c>
      <c r="D6" s="14"/>
      <c r="E6" s="14"/>
      <c r="F6" s="1"/>
    </row>
    <row r="7" spans="2:14" ht="15">
      <c r="B7" s="14"/>
      <c r="C7" s="17" t="s">
        <v>171</v>
      </c>
      <c r="D7" s="17"/>
      <c r="E7" s="17"/>
      <c r="F7" s="18"/>
      <c r="G7" s="19"/>
      <c r="H7" s="19"/>
      <c r="I7" s="19"/>
      <c r="J7" s="19"/>
      <c r="K7" s="19"/>
      <c r="L7" s="19"/>
      <c r="M7" s="19"/>
      <c r="N7" s="19"/>
    </row>
    <row r="8" spans="3:14" s="1" customFormat="1" ht="9.75">
      <c r="C8" s="18"/>
      <c r="D8" s="20" t="s">
        <v>172</v>
      </c>
      <c r="E8" s="18"/>
      <c r="F8" s="18"/>
      <c r="G8" s="18"/>
      <c r="H8" s="18"/>
      <c r="I8" s="18"/>
      <c r="J8" s="18"/>
      <c r="K8" s="18"/>
      <c r="L8" s="18"/>
      <c r="M8" s="18"/>
      <c r="N8" s="18"/>
    </row>
    <row r="9" spans="3:14" s="16" customFormat="1" ht="9.75">
      <c r="C9" s="20"/>
      <c r="D9" s="20" t="s">
        <v>176</v>
      </c>
      <c r="E9" s="20"/>
      <c r="F9" s="20"/>
      <c r="G9" s="20"/>
      <c r="H9" s="20"/>
      <c r="I9" s="20"/>
      <c r="J9" s="20"/>
      <c r="K9" s="20"/>
      <c r="L9" s="20"/>
      <c r="M9" s="20"/>
      <c r="N9" s="20"/>
    </row>
    <row r="10" spans="3:14" s="16" customFormat="1" ht="9.75">
      <c r="C10" s="20"/>
      <c r="D10" s="20" t="s">
        <v>180</v>
      </c>
      <c r="E10" s="20"/>
      <c r="F10" s="20"/>
      <c r="G10" s="20"/>
      <c r="H10" s="20"/>
      <c r="I10" s="20"/>
      <c r="J10" s="20"/>
      <c r="K10" s="20"/>
      <c r="L10" s="20"/>
      <c r="M10" s="20"/>
      <c r="N10" s="20"/>
    </row>
    <row r="11" spans="2:14" ht="15">
      <c r="B11" s="14"/>
      <c r="C11" s="17" t="s">
        <v>173</v>
      </c>
      <c r="D11" s="17"/>
      <c r="E11" s="17"/>
      <c r="F11" s="18"/>
      <c r="G11" s="19"/>
      <c r="H11" s="19"/>
      <c r="I11" s="19"/>
      <c r="J11" s="19"/>
      <c r="K11" s="19"/>
      <c r="L11" s="19"/>
      <c r="M11" s="19"/>
      <c r="N11" s="19"/>
    </row>
    <row r="12" spans="2:14" ht="15">
      <c r="B12" s="14"/>
      <c r="C12" s="17" t="s">
        <v>26</v>
      </c>
      <c r="D12" s="17"/>
      <c r="E12" s="17"/>
      <c r="F12" s="18"/>
      <c r="G12" s="19"/>
      <c r="H12" s="19"/>
      <c r="I12" s="19"/>
      <c r="J12" s="19"/>
      <c r="K12" s="19"/>
      <c r="L12" s="19"/>
      <c r="M12" s="19"/>
      <c r="N12" s="19"/>
    </row>
    <row r="13" spans="3:14" s="1" customFormat="1" ht="9.75">
      <c r="C13" s="18"/>
      <c r="D13" s="20" t="s">
        <v>174</v>
      </c>
      <c r="E13" s="18"/>
      <c r="F13" s="18"/>
      <c r="G13" s="18"/>
      <c r="H13" s="18"/>
      <c r="I13" s="18"/>
      <c r="J13" s="18"/>
      <c r="K13" s="18"/>
      <c r="L13" s="18"/>
      <c r="M13" s="18"/>
      <c r="N13" s="18"/>
    </row>
    <row r="14" spans="3:14" s="1" customFormat="1" ht="9.75">
      <c r="C14" s="18"/>
      <c r="D14" s="20" t="s">
        <v>177</v>
      </c>
      <c r="E14" s="18"/>
      <c r="F14" s="18"/>
      <c r="G14" s="18"/>
      <c r="H14" s="18"/>
      <c r="I14" s="18"/>
      <c r="J14" s="18"/>
      <c r="K14" s="18"/>
      <c r="L14" s="18"/>
      <c r="M14" s="18"/>
      <c r="N14" s="18"/>
    </row>
    <row r="15" spans="2:14" ht="15">
      <c r="B15" s="14"/>
      <c r="C15" s="17" t="s">
        <v>175</v>
      </c>
      <c r="D15" s="17"/>
      <c r="E15" s="17"/>
      <c r="F15" s="18"/>
      <c r="G15" s="19"/>
      <c r="H15" s="19"/>
      <c r="I15" s="19"/>
      <c r="J15" s="19"/>
      <c r="K15" s="19"/>
      <c r="L15" s="19"/>
      <c r="M15" s="19"/>
      <c r="N15" s="19"/>
    </row>
    <row r="16" spans="2:14" ht="15">
      <c r="B16" s="14"/>
      <c r="J16" s="19"/>
      <c r="K16" s="19"/>
      <c r="L16" s="19"/>
      <c r="M16" s="19"/>
      <c r="N16" s="19"/>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5" tint="-0.24997000396251678"/>
  </sheetPr>
  <dimension ref="A1:H47"/>
  <sheetViews>
    <sheetView showGridLines="0" zoomScalePageLayoutView="0" workbookViewId="0" topLeftCell="A1">
      <selection activeCell="L14" sqref="L14"/>
    </sheetView>
  </sheetViews>
  <sheetFormatPr defaultColWidth="9.140625" defaultRowHeight="12.75"/>
  <cols>
    <col min="1" max="1" width="2.7109375" style="42" customWidth="1"/>
    <col min="2" max="2" width="0.71875" style="42" customWidth="1"/>
    <col min="3" max="3" width="6.7109375" style="42" customWidth="1"/>
    <col min="4" max="5" width="9.140625" style="42" customWidth="1"/>
    <col min="6" max="7" width="11.57421875" style="42" customWidth="1"/>
    <col min="8" max="8" width="11.28125" style="42" customWidth="1"/>
    <col min="9" max="16384" width="9.140625" style="42" customWidth="1"/>
  </cols>
  <sheetData>
    <row r="1" ht="12.75">
      <c r="A1" s="41" t="s">
        <v>275</v>
      </c>
    </row>
    <row r="3" ht="12.75">
      <c r="C3" s="41" t="s">
        <v>186</v>
      </c>
    </row>
    <row r="5" spans="4:8" ht="12.75">
      <c r="D5" s="73" t="s">
        <v>192</v>
      </c>
      <c r="E5" s="74" t="s">
        <v>187</v>
      </c>
      <c r="F5" s="51" t="s">
        <v>195</v>
      </c>
      <c r="G5" s="74" t="s">
        <v>189</v>
      </c>
      <c r="H5" s="52" t="s">
        <v>194</v>
      </c>
    </row>
    <row r="6" spans="4:8" ht="12.75">
      <c r="D6" s="75" t="s">
        <v>193</v>
      </c>
      <c r="E6" s="76" t="s">
        <v>191</v>
      </c>
      <c r="F6" s="53" t="s">
        <v>196</v>
      </c>
      <c r="G6" s="76" t="s">
        <v>190</v>
      </c>
      <c r="H6" s="54" t="s">
        <v>67</v>
      </c>
    </row>
    <row r="7" spans="4:8" ht="12">
      <c r="D7" s="213">
        <v>12</v>
      </c>
      <c r="E7" s="213">
        <v>1200</v>
      </c>
      <c r="F7" s="57">
        <f>D7*E7</f>
        <v>14400</v>
      </c>
      <c r="G7" s="273">
        <v>250</v>
      </c>
      <c r="H7" s="57">
        <f>D7*E7*G7</f>
        <v>3600000</v>
      </c>
    </row>
    <row r="15" spans="3:8" ht="12.75">
      <c r="C15" s="41" t="s">
        <v>80</v>
      </c>
      <c r="E15" s="77" t="s">
        <v>130</v>
      </c>
      <c r="F15" s="77" t="s">
        <v>137</v>
      </c>
      <c r="G15" s="77" t="s">
        <v>138</v>
      </c>
      <c r="H15" s="77" t="s">
        <v>126</v>
      </c>
    </row>
    <row r="16" spans="4:8" ht="12">
      <c r="D16" s="42" t="s">
        <v>127</v>
      </c>
      <c r="E16" s="214">
        <v>10</v>
      </c>
      <c r="F16" s="215">
        <v>10000</v>
      </c>
      <c r="G16" s="215">
        <v>0</v>
      </c>
      <c r="H16" s="78">
        <f>SLN(F16,0,E16)</f>
        <v>1000</v>
      </c>
    </row>
    <row r="17" spans="4:8" ht="12">
      <c r="D17" s="272" t="s">
        <v>35</v>
      </c>
      <c r="E17" s="214">
        <v>36</v>
      </c>
      <c r="F17" s="215">
        <v>100000</v>
      </c>
      <c r="G17" s="215">
        <v>0</v>
      </c>
      <c r="H17" s="78">
        <f>SLN(F17,0,E17)</f>
        <v>2777.777777777778</v>
      </c>
    </row>
    <row r="18" spans="4:8" ht="12">
      <c r="D18" s="42" t="s">
        <v>128</v>
      </c>
      <c r="E18" s="214">
        <v>60</v>
      </c>
      <c r="F18" s="215">
        <v>250000</v>
      </c>
      <c r="G18" s="215">
        <v>0</v>
      </c>
      <c r="H18" s="78">
        <f>SLN(F18,G18,E18)</f>
        <v>4166.666666666667</v>
      </c>
    </row>
    <row r="19" spans="4:8" ht="12">
      <c r="D19" s="42" t="s">
        <v>129</v>
      </c>
      <c r="E19" s="214">
        <v>60</v>
      </c>
      <c r="F19" s="79">
        <f>$H$7</f>
        <v>3600000</v>
      </c>
      <c r="G19" s="215">
        <v>0</v>
      </c>
      <c r="H19" s="78">
        <f>SLN(F19,G19,E19)</f>
        <v>60000</v>
      </c>
    </row>
    <row r="20" spans="6:8" ht="12.75" thickBot="1">
      <c r="F20" s="80">
        <f>SUM(F16:F19)</f>
        <v>3960000</v>
      </c>
      <c r="G20" s="80">
        <f>SUM(G16:G19)</f>
        <v>0</v>
      </c>
      <c r="H20" s="80">
        <f>SUM(H16:H19)</f>
        <v>67944.44444444444</v>
      </c>
    </row>
    <row r="47" ht="12">
      <c r="D47" s="59" t="str">
        <f>Reserved</f>
        <v>This product was created by Multi-View Incorporated.  It is reserved for the exclusive use of MVI clients. Need help?  828-698-5885</v>
      </c>
    </row>
  </sheetData>
  <sheetProtection password="DFAD" sheet="1" objects="1" scenarios="1"/>
  <printOptions/>
  <pageMargins left="0.75" right="0.75" top="1" bottom="1"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sheetPr>
    <tabColor indexed="30"/>
  </sheetPr>
  <dimension ref="A1:I76"/>
  <sheetViews>
    <sheetView showGridLines="0" zoomScale="102" zoomScaleNormal="102" zoomScalePageLayoutView="0" workbookViewId="0" topLeftCell="A1">
      <selection activeCell="A6" sqref="A6"/>
    </sheetView>
  </sheetViews>
  <sheetFormatPr defaultColWidth="9.140625" defaultRowHeight="12.75"/>
  <cols>
    <col min="1" max="1" width="3.8515625" style="42" customWidth="1"/>
    <col min="2" max="2" width="2.7109375" style="42" customWidth="1"/>
    <col min="3" max="3" width="28.140625" style="42" customWidth="1"/>
    <col min="4" max="4" width="9.28125" style="42" bestFit="1" customWidth="1"/>
    <col min="5" max="5" width="9.140625" style="42" customWidth="1"/>
    <col min="6" max="6" width="10.00390625" style="42" customWidth="1"/>
    <col min="7" max="16384" width="9.140625" style="42" customWidth="1"/>
  </cols>
  <sheetData>
    <row r="1" spans="1:8" ht="12.75">
      <c r="A1" s="41" t="s">
        <v>145</v>
      </c>
      <c r="F1" s="43" t="s">
        <v>160</v>
      </c>
      <c r="G1" s="44" t="str">
        <f>Name</f>
        <v>Sunny Day Hospice</v>
      </c>
      <c r="H1" s="45"/>
    </row>
    <row r="2" spans="6:8" ht="12">
      <c r="F2" s="43" t="s">
        <v>161</v>
      </c>
      <c r="G2" s="44" t="str">
        <f>CON.Number</f>
        <v>XX-XXX</v>
      </c>
      <c r="H2" s="45"/>
    </row>
    <row r="3" spans="6:8" ht="12">
      <c r="F3" s="43" t="s">
        <v>162</v>
      </c>
      <c r="G3" s="46" t="s">
        <v>167</v>
      </c>
      <c r="H3" s="47" t="str">
        <f>state</f>
        <v>GA</v>
      </c>
    </row>
    <row r="4" spans="6:8" ht="12">
      <c r="F4" s="43" t="s">
        <v>163</v>
      </c>
      <c r="G4" s="48">
        <v>1</v>
      </c>
      <c r="H4" s="49" t="str">
        <f>Submission.Date</f>
        <v>3/30/17</v>
      </c>
    </row>
    <row r="5" spans="6:8" ht="12">
      <c r="F5" s="164"/>
      <c r="G5" s="248"/>
      <c r="H5" s="50"/>
    </row>
    <row r="6" spans="3:8" ht="12.75">
      <c r="C6" s="41" t="s">
        <v>362</v>
      </c>
      <c r="E6" s="58">
        <f>'Construction Costs &amp; Depr'!$D$7</f>
        <v>12</v>
      </c>
      <c r="F6" s="164"/>
      <c r="G6" s="248"/>
      <c r="H6" s="50"/>
    </row>
    <row r="7" spans="3:8" ht="12.75">
      <c r="C7" s="41" t="s">
        <v>150</v>
      </c>
      <c r="E7" s="261">
        <v>5.6</v>
      </c>
      <c r="F7" s="164"/>
      <c r="G7" s="248"/>
      <c r="H7" s="50"/>
    </row>
    <row r="8" spans="3:8" ht="12.75">
      <c r="C8" s="41" t="s">
        <v>352</v>
      </c>
      <c r="E8" s="261">
        <v>0.1</v>
      </c>
      <c r="F8" s="164"/>
      <c r="G8" s="248"/>
      <c r="H8" s="50"/>
    </row>
    <row r="9" spans="3:8" ht="12.75">
      <c r="C9" s="41" t="s">
        <v>374</v>
      </c>
      <c r="E9" s="261">
        <v>5</v>
      </c>
      <c r="F9" s="164"/>
      <c r="G9" s="248"/>
      <c r="H9" s="50"/>
    </row>
    <row r="10" spans="6:8" ht="12">
      <c r="F10" s="164"/>
      <c r="G10" s="248"/>
      <c r="H10" s="50"/>
    </row>
    <row r="11" spans="3:8" ht="12.75">
      <c r="C11" s="41" t="s">
        <v>354</v>
      </c>
      <c r="H11" s="50"/>
    </row>
    <row r="12" spans="3:9" ht="12.75">
      <c r="C12" s="51" t="s">
        <v>148</v>
      </c>
      <c r="D12" s="245" t="s">
        <v>355</v>
      </c>
      <c r="E12" s="245" t="s">
        <v>358</v>
      </c>
      <c r="F12" s="245" t="s">
        <v>359</v>
      </c>
      <c r="G12" s="245" t="s">
        <v>360</v>
      </c>
      <c r="H12" s="245" t="s">
        <v>361</v>
      </c>
      <c r="I12" s="51"/>
    </row>
    <row r="13" spans="3:9" ht="12.75">
      <c r="C13" s="53" t="s">
        <v>353</v>
      </c>
      <c r="D13" s="246">
        <v>2018</v>
      </c>
      <c r="E13" s="246">
        <v>2019</v>
      </c>
      <c r="F13" s="246">
        <v>2020</v>
      </c>
      <c r="G13" s="246">
        <v>2021</v>
      </c>
      <c r="H13" s="246">
        <v>2022</v>
      </c>
      <c r="I13" s="53" t="s">
        <v>0</v>
      </c>
    </row>
    <row r="14" spans="3:9" ht="12.75">
      <c r="C14" s="250" t="s">
        <v>149</v>
      </c>
      <c r="D14" s="56"/>
      <c r="E14" s="56"/>
      <c r="F14" s="56"/>
      <c r="G14" s="56"/>
      <c r="H14" s="56"/>
      <c r="I14" s="56"/>
    </row>
    <row r="15" spans="3:9" ht="12">
      <c r="C15" s="247" t="s">
        <v>146</v>
      </c>
      <c r="D15" s="57">
        <f>(Revenue!$D$15*'Pro Forma IS'!G$7)</f>
        <v>2482</v>
      </c>
      <c r="E15" s="57">
        <f>(Revenue!$D$15*'Pro Forma IS'!H$7)</f>
        <v>2482</v>
      </c>
      <c r="F15" s="57">
        <f>(Revenue!$D$15*'Pro Forma IS'!I$7)</f>
        <v>2482</v>
      </c>
      <c r="G15" s="57">
        <f>(Revenue!$D$15*'Pro Forma IS'!J$7)</f>
        <v>2482</v>
      </c>
      <c r="H15" s="57">
        <f>(Revenue!$D$15*'Pro Forma IS'!K$7)</f>
        <v>2482</v>
      </c>
      <c r="I15" s="57">
        <f>SUM(D15:H15)</f>
        <v>12410</v>
      </c>
    </row>
    <row r="16" spans="3:9" ht="12">
      <c r="C16" s="247" t="s">
        <v>147</v>
      </c>
      <c r="D16" s="57">
        <f>(Revenue!$D$16*'Pro Forma IS'!G$7)</f>
        <v>146</v>
      </c>
      <c r="E16" s="57">
        <f>(Revenue!$D$16*'Pro Forma IS'!H$7)</f>
        <v>146</v>
      </c>
      <c r="F16" s="57">
        <f>(Revenue!$D$16*'Pro Forma IS'!I$7)</f>
        <v>146</v>
      </c>
      <c r="G16" s="57">
        <f>(Revenue!$D$16*'Pro Forma IS'!J$7)</f>
        <v>146</v>
      </c>
      <c r="H16" s="57">
        <f>(Revenue!$D$16*'Pro Forma IS'!K$7)</f>
        <v>146</v>
      </c>
      <c r="I16" s="57">
        <f>SUM(D16:H16)</f>
        <v>730</v>
      </c>
    </row>
    <row r="17" spans="3:9" ht="12">
      <c r="C17" s="247" t="s">
        <v>356</v>
      </c>
      <c r="D17" s="57">
        <f>(Revenue!$D$17*'Pro Forma IS'!G$7)</f>
        <v>175.2</v>
      </c>
      <c r="E17" s="57">
        <f>(Revenue!$D$17*'Pro Forma IS'!H$7)</f>
        <v>175.2</v>
      </c>
      <c r="F17" s="57">
        <f>(Revenue!$D$17*'Pro Forma IS'!I$7)</f>
        <v>175.2</v>
      </c>
      <c r="G17" s="57">
        <f>(Revenue!$D$17*'Pro Forma IS'!J$7)</f>
        <v>175.2</v>
      </c>
      <c r="H17" s="57">
        <f>(Revenue!$D$17*'Pro Forma IS'!K$7)</f>
        <v>175.2</v>
      </c>
      <c r="I17" s="57">
        <f>SUM(D17:H17)</f>
        <v>876</v>
      </c>
    </row>
    <row r="18" spans="3:9" ht="12">
      <c r="C18" s="247" t="s">
        <v>365</v>
      </c>
      <c r="D18" s="57">
        <f>(Revenue!$D$18*'Pro Forma IS'!G$7)+(Revenue!$D$19*'Pro Forma IS'!G$7)</f>
        <v>116.8</v>
      </c>
      <c r="E18" s="57">
        <f>(Revenue!$D$18*'Pro Forma IS'!H$7)+(Revenue!$D$19*'Pro Forma IS'!H$7)</f>
        <v>116.8</v>
      </c>
      <c r="F18" s="57">
        <f>(Revenue!$D$18*'Pro Forma IS'!I$7)+(Revenue!$D$19*'Pro Forma IS'!I$7)</f>
        <v>116.8</v>
      </c>
      <c r="G18" s="57">
        <f>(Revenue!$D$18*'Pro Forma IS'!J$7)+(Revenue!$D$19*'Pro Forma IS'!J$7)</f>
        <v>116.8</v>
      </c>
      <c r="H18" s="57">
        <f>(Revenue!$D$18*'Pro Forma IS'!K$7)+(Revenue!$D$19*'Pro Forma IS'!K$7)</f>
        <v>116.8</v>
      </c>
      <c r="I18" s="57">
        <f>SUM(D18:H18)</f>
        <v>584</v>
      </c>
    </row>
    <row r="19" spans="3:9" ht="12">
      <c r="C19" s="247" t="s">
        <v>0</v>
      </c>
      <c r="D19" s="57">
        <f>SUM(D15:D18)</f>
        <v>2920</v>
      </c>
      <c r="E19" s="57">
        <f>SUM(E15:E18)</f>
        <v>2920</v>
      </c>
      <c r="F19" s="57">
        <f>SUM(F15:F18)</f>
        <v>2920</v>
      </c>
      <c r="G19" s="57">
        <f>SUM(G15:G18)</f>
        <v>2920</v>
      </c>
      <c r="H19" s="57">
        <f>SUM(H15:H18)</f>
        <v>2920</v>
      </c>
      <c r="I19" s="57">
        <f>SUM(D19:H19)</f>
        <v>14600</v>
      </c>
    </row>
    <row r="20" spans="3:9" ht="12.75">
      <c r="C20" s="250" t="s">
        <v>363</v>
      </c>
      <c r="D20" s="56"/>
      <c r="E20" s="56"/>
      <c r="F20" s="56"/>
      <c r="G20" s="56"/>
      <c r="H20" s="56"/>
      <c r="I20" s="56"/>
    </row>
    <row r="21" spans="3:9" ht="12">
      <c r="C21" s="247" t="str">
        <f>$C15</f>
        <v>Medicare</v>
      </c>
      <c r="D21" s="57">
        <f>(Revenue!$D$15*'Pro Forma IS'!G$8)</f>
        <v>310.25</v>
      </c>
      <c r="E21" s="57">
        <f>(Revenue!$D$15*'Pro Forma IS'!H$8)</f>
        <v>310.25</v>
      </c>
      <c r="F21" s="57">
        <f>(Revenue!$D$15*'Pro Forma IS'!I$8)</f>
        <v>310.25</v>
      </c>
      <c r="G21" s="57">
        <f>(Revenue!$D$15*'Pro Forma IS'!J$8)</f>
        <v>310.25</v>
      </c>
      <c r="H21" s="57">
        <f>(Revenue!$D$15*'Pro Forma IS'!K$8)</f>
        <v>310.25</v>
      </c>
      <c r="I21" s="57">
        <f>SUM(D21:H21)</f>
        <v>1551.25</v>
      </c>
    </row>
    <row r="22" spans="3:9" ht="12">
      <c r="C22" s="247" t="str">
        <f>$C16</f>
        <v>Medicaid</v>
      </c>
      <c r="D22" s="57">
        <f>(Revenue!$D$16*'Pro Forma IS'!G$8)</f>
        <v>18.25</v>
      </c>
      <c r="E22" s="57">
        <f>(Revenue!$D$16*'Pro Forma IS'!H$8)</f>
        <v>18.25</v>
      </c>
      <c r="F22" s="57">
        <f>(Revenue!$D$16*'Pro Forma IS'!I$8)</f>
        <v>18.25</v>
      </c>
      <c r="G22" s="57">
        <f>(Revenue!$D$16*'Pro Forma IS'!J$8)</f>
        <v>18.25</v>
      </c>
      <c r="H22" s="57">
        <f>(Revenue!$D$16*'Pro Forma IS'!K$8)</f>
        <v>18.25</v>
      </c>
      <c r="I22" s="57">
        <f>SUM(D22:H22)</f>
        <v>91.25</v>
      </c>
    </row>
    <row r="23" spans="3:9" ht="12">
      <c r="C23" s="247" t="str">
        <f>$C17</f>
        <v>Commercial</v>
      </c>
      <c r="D23" s="57">
        <f>(Revenue!$D$17*'Pro Forma IS'!G$8)</f>
        <v>21.9</v>
      </c>
      <c r="E23" s="57">
        <f>(Revenue!$D$17*'Pro Forma IS'!H$8)</f>
        <v>21.9</v>
      </c>
      <c r="F23" s="57">
        <f>(Revenue!$D$17*'Pro Forma IS'!I$8)</f>
        <v>21.9</v>
      </c>
      <c r="G23" s="57">
        <f>(Revenue!$D$17*'Pro Forma IS'!J$8)</f>
        <v>21.9</v>
      </c>
      <c r="H23" s="57">
        <f>(Revenue!$D$17*'Pro Forma IS'!K$8)</f>
        <v>21.9</v>
      </c>
      <c r="I23" s="57">
        <f>SUM(D23:H23)</f>
        <v>109.5</v>
      </c>
    </row>
    <row r="24" spans="3:9" ht="12">
      <c r="C24" s="247" t="str">
        <f>$C18</f>
        <v>Indigent &amp; Self Pay</v>
      </c>
      <c r="D24" s="57">
        <f>(Revenue!$D$18*'Pro Forma IS'!G$8)+(Revenue!$D$19*'Pro Forma IS'!G$8)</f>
        <v>14.6</v>
      </c>
      <c r="E24" s="57">
        <f>(Revenue!$D$18*'Pro Forma IS'!H$8)+(Revenue!$D$19*'Pro Forma IS'!H$8)</f>
        <v>14.6</v>
      </c>
      <c r="F24" s="57">
        <f>(Revenue!$D$18*'Pro Forma IS'!I$8)+(Revenue!$D$19*'Pro Forma IS'!I$8)</f>
        <v>14.6</v>
      </c>
      <c r="G24" s="57">
        <f>(Revenue!$D$18*'Pro Forma IS'!J$8)+(Revenue!$D$19*'Pro Forma IS'!J$8)</f>
        <v>14.6</v>
      </c>
      <c r="H24" s="57">
        <f>(Revenue!$D$18*'Pro Forma IS'!K$8)+(Revenue!$D$19*'Pro Forma IS'!K$8)</f>
        <v>14.6</v>
      </c>
      <c r="I24" s="57">
        <f>SUM(D24:H24)</f>
        <v>73</v>
      </c>
    </row>
    <row r="25" spans="3:9" ht="12">
      <c r="C25" s="247" t="str">
        <f>$C19</f>
        <v>Total</v>
      </c>
      <c r="D25" s="57">
        <f>SUM(D21:D24)</f>
        <v>365</v>
      </c>
      <c r="E25" s="57">
        <f>SUM(E21:E24)</f>
        <v>365</v>
      </c>
      <c r="F25" s="57">
        <f>SUM(F21:F24)</f>
        <v>365</v>
      </c>
      <c r="G25" s="57">
        <f>SUM(G21:G24)</f>
        <v>365</v>
      </c>
      <c r="H25" s="57">
        <f>SUM(H21:H24)</f>
        <v>365</v>
      </c>
      <c r="I25" s="57">
        <f>SUM(D25:H25)</f>
        <v>1825</v>
      </c>
    </row>
    <row r="26" spans="3:9" ht="12.75">
      <c r="C26" s="250" t="s">
        <v>370</v>
      </c>
      <c r="D26" s="56"/>
      <c r="E26" s="56"/>
      <c r="F26" s="56"/>
      <c r="G26" s="56"/>
      <c r="H26" s="56"/>
      <c r="I26" s="56"/>
    </row>
    <row r="27" spans="3:9" ht="12">
      <c r="C27" s="247" t="str">
        <f>$C21</f>
        <v>Medicare</v>
      </c>
      <c r="D27" s="57">
        <f>(Revenue!$D$15*'Pro Forma IS'!G$9)</f>
        <v>620.5</v>
      </c>
      <c r="E27" s="57">
        <f>(Revenue!$D$15*'Pro Forma IS'!H$9)</f>
        <v>620.5</v>
      </c>
      <c r="F27" s="57">
        <f>(Revenue!$D$15*'Pro Forma IS'!I$9)</f>
        <v>620.5</v>
      </c>
      <c r="G27" s="57">
        <f>(Revenue!$D$15*'Pro Forma IS'!J$9)</f>
        <v>620.5</v>
      </c>
      <c r="H27" s="57">
        <f>(Revenue!$D$15*'Pro Forma IS'!K$9)</f>
        <v>620.5</v>
      </c>
      <c r="I27" s="57">
        <f aca="true" t="shared" si="0" ref="I27:I32">SUM(D27:H27)</f>
        <v>3102.5</v>
      </c>
    </row>
    <row r="28" spans="3:9" ht="12">
      <c r="C28" s="247" t="str">
        <f>$C22</f>
        <v>Medicaid</v>
      </c>
      <c r="D28" s="57">
        <f>(Revenue!$D$16*'Pro Forma IS'!G$9)</f>
        <v>36.5</v>
      </c>
      <c r="E28" s="57">
        <f>(Revenue!$D$16*'Pro Forma IS'!H$9)</f>
        <v>36.5</v>
      </c>
      <c r="F28" s="57">
        <f>(Revenue!$D$16*'Pro Forma IS'!I$9)</f>
        <v>36.5</v>
      </c>
      <c r="G28" s="57">
        <f>(Revenue!$D$16*'Pro Forma IS'!J$9)</f>
        <v>36.5</v>
      </c>
      <c r="H28" s="57">
        <f>(Revenue!$D$16*'Pro Forma IS'!K$9)</f>
        <v>36.5</v>
      </c>
      <c r="I28" s="57">
        <f t="shared" si="0"/>
        <v>182.5</v>
      </c>
    </row>
    <row r="29" spans="3:9" ht="12">
      <c r="C29" s="247" t="str">
        <f>$C23</f>
        <v>Commercial</v>
      </c>
      <c r="D29" s="57">
        <f>(Revenue!$D$17*'Pro Forma IS'!G$9)</f>
        <v>43.8</v>
      </c>
      <c r="E29" s="57">
        <f>(Revenue!$D$17*'Pro Forma IS'!H$9)</f>
        <v>43.8</v>
      </c>
      <c r="F29" s="57">
        <f>(Revenue!$D$17*'Pro Forma IS'!I$9)</f>
        <v>43.8</v>
      </c>
      <c r="G29" s="57">
        <f>(Revenue!$D$17*'Pro Forma IS'!J$9)</f>
        <v>43.8</v>
      </c>
      <c r="H29" s="57">
        <f>(Revenue!$D$17*'Pro Forma IS'!K$9)</f>
        <v>43.8</v>
      </c>
      <c r="I29" s="57">
        <f t="shared" si="0"/>
        <v>219</v>
      </c>
    </row>
    <row r="30" spans="3:9" ht="12">
      <c r="C30" s="247" t="str">
        <f>$C24</f>
        <v>Indigent &amp; Self Pay</v>
      </c>
      <c r="D30" s="57">
        <f>(Revenue!$D$18*'Pro Forma IS'!G$9)+(Revenue!$D$19*'Pro Forma IS'!G$9)</f>
        <v>29.2</v>
      </c>
      <c r="E30" s="57">
        <f>(Revenue!$D$18*'Pro Forma IS'!H$9)+(Revenue!$D$19*'Pro Forma IS'!H$9)</f>
        <v>29.2</v>
      </c>
      <c r="F30" s="57">
        <f>(Revenue!$D$18*'Pro Forma IS'!I$9)+(Revenue!$D$19*'Pro Forma IS'!I$9)</f>
        <v>29.2</v>
      </c>
      <c r="G30" s="57">
        <f>(Revenue!$D$18*'Pro Forma IS'!J$9)+(Revenue!$D$19*'Pro Forma IS'!J$9)</f>
        <v>29.2</v>
      </c>
      <c r="H30" s="57">
        <f>(Revenue!$D$18*'Pro Forma IS'!K$9)+(Revenue!$D$19*'Pro Forma IS'!K$9)</f>
        <v>29.2</v>
      </c>
      <c r="I30" s="57">
        <f t="shared" si="0"/>
        <v>146</v>
      </c>
    </row>
    <row r="31" spans="3:9" ht="12">
      <c r="C31" s="247" t="str">
        <f>$C25</f>
        <v>Total</v>
      </c>
      <c r="D31" s="57">
        <f>SUM(D27:D30)</f>
        <v>730</v>
      </c>
      <c r="E31" s="57">
        <f>SUM(E27:E30)</f>
        <v>730</v>
      </c>
      <c r="F31" s="57">
        <f>SUM(F27:F30)</f>
        <v>730</v>
      </c>
      <c r="G31" s="57">
        <f>SUM(G27:G30)</f>
        <v>730</v>
      </c>
      <c r="H31" s="57">
        <f>SUM(H27:H30)</f>
        <v>730</v>
      </c>
      <c r="I31" s="57">
        <f t="shared" si="0"/>
        <v>3650</v>
      </c>
    </row>
    <row r="32" spans="3:9" ht="12.75">
      <c r="C32" s="257" t="s">
        <v>367</v>
      </c>
      <c r="D32" s="258">
        <f>D19+D25+D31</f>
        <v>4015</v>
      </c>
      <c r="E32" s="258">
        <f>E19+E25+E31</f>
        <v>4015</v>
      </c>
      <c r="F32" s="258">
        <f>F19+F25+F31</f>
        <v>4015</v>
      </c>
      <c r="G32" s="258">
        <f>G19+G25+G31</f>
        <v>4015</v>
      </c>
      <c r="H32" s="258">
        <f>H19+H25+H31</f>
        <v>4015</v>
      </c>
      <c r="I32" s="258">
        <f t="shared" si="0"/>
        <v>20075</v>
      </c>
    </row>
    <row r="34" ht="12.75">
      <c r="C34" s="41" t="s">
        <v>151</v>
      </c>
    </row>
    <row r="35" spans="3:9" ht="12.75">
      <c r="C35" s="51" t="s">
        <v>194</v>
      </c>
      <c r="D35" s="251" t="str">
        <f aca="true" t="shared" si="1" ref="D35:H36">D12</f>
        <v>FY-1</v>
      </c>
      <c r="E35" s="251" t="str">
        <f t="shared" si="1"/>
        <v>FY-2</v>
      </c>
      <c r="F35" s="251" t="str">
        <f t="shared" si="1"/>
        <v>FY-3</v>
      </c>
      <c r="G35" s="251" t="str">
        <f t="shared" si="1"/>
        <v>FY-4</v>
      </c>
      <c r="H35" s="251" t="str">
        <f t="shared" si="1"/>
        <v>FY-5</v>
      </c>
      <c r="I35" s="51"/>
    </row>
    <row r="36" spans="3:9" ht="12.75">
      <c r="C36" s="53" t="s">
        <v>364</v>
      </c>
      <c r="D36" s="252">
        <f t="shared" si="1"/>
        <v>2018</v>
      </c>
      <c r="E36" s="252">
        <f t="shared" si="1"/>
        <v>2019</v>
      </c>
      <c r="F36" s="252">
        <f t="shared" si="1"/>
        <v>2020</v>
      </c>
      <c r="G36" s="252">
        <f t="shared" si="1"/>
        <v>2021</v>
      </c>
      <c r="H36" s="252">
        <f t="shared" si="1"/>
        <v>2022</v>
      </c>
      <c r="I36" s="53" t="s">
        <v>0</v>
      </c>
    </row>
    <row r="37" spans="3:9" ht="12.75">
      <c r="C37" s="250" t="s">
        <v>366</v>
      </c>
      <c r="D37" s="56"/>
      <c r="E37" s="56"/>
      <c r="F37" s="56"/>
      <c r="G37" s="56"/>
      <c r="H37" s="56"/>
      <c r="I37" s="56"/>
    </row>
    <row r="38" spans="3:9" ht="12">
      <c r="C38" s="247" t="s">
        <v>146</v>
      </c>
      <c r="D38" s="57">
        <f aca="true" t="shared" si="2" ref="D38:H41">D15/Avg.IP.LOS</f>
        <v>443.2142857142857</v>
      </c>
      <c r="E38" s="57">
        <f t="shared" si="2"/>
        <v>443.2142857142857</v>
      </c>
      <c r="F38" s="57">
        <f t="shared" si="2"/>
        <v>443.2142857142857</v>
      </c>
      <c r="G38" s="57">
        <f t="shared" si="2"/>
        <v>443.2142857142857</v>
      </c>
      <c r="H38" s="57">
        <f t="shared" si="2"/>
        <v>443.2142857142857</v>
      </c>
      <c r="I38" s="57">
        <f>SUM(D38:H38)</f>
        <v>2216.0714285714284</v>
      </c>
    </row>
    <row r="39" spans="3:9" ht="12">
      <c r="C39" s="247" t="s">
        <v>147</v>
      </c>
      <c r="D39" s="57">
        <f t="shared" si="2"/>
        <v>26.071428571428573</v>
      </c>
      <c r="E39" s="57">
        <f t="shared" si="2"/>
        <v>26.071428571428573</v>
      </c>
      <c r="F39" s="57">
        <f t="shared" si="2"/>
        <v>26.071428571428573</v>
      </c>
      <c r="G39" s="57">
        <f t="shared" si="2"/>
        <v>26.071428571428573</v>
      </c>
      <c r="H39" s="57">
        <f t="shared" si="2"/>
        <v>26.071428571428573</v>
      </c>
      <c r="I39" s="57">
        <f>SUM(D39:H39)</f>
        <v>130.35714285714286</v>
      </c>
    </row>
    <row r="40" spans="3:9" ht="12">
      <c r="C40" s="247" t="s">
        <v>356</v>
      </c>
      <c r="D40" s="57">
        <f t="shared" si="2"/>
        <v>31.285714285714285</v>
      </c>
      <c r="E40" s="57">
        <f t="shared" si="2"/>
        <v>31.285714285714285</v>
      </c>
      <c r="F40" s="57">
        <f t="shared" si="2"/>
        <v>31.285714285714285</v>
      </c>
      <c r="G40" s="57">
        <f t="shared" si="2"/>
        <v>31.285714285714285</v>
      </c>
      <c r="H40" s="57">
        <f t="shared" si="2"/>
        <v>31.285714285714285</v>
      </c>
      <c r="I40" s="57">
        <f>SUM(D40:H40)</f>
        <v>156.42857142857142</v>
      </c>
    </row>
    <row r="41" spans="3:9" ht="12">
      <c r="C41" s="247" t="s">
        <v>357</v>
      </c>
      <c r="D41" s="57">
        <f t="shared" si="2"/>
        <v>20.857142857142858</v>
      </c>
      <c r="E41" s="57">
        <f t="shared" si="2"/>
        <v>20.857142857142858</v>
      </c>
      <c r="F41" s="57">
        <f t="shared" si="2"/>
        <v>20.857142857142858</v>
      </c>
      <c r="G41" s="57">
        <f t="shared" si="2"/>
        <v>20.857142857142858</v>
      </c>
      <c r="H41" s="57">
        <f t="shared" si="2"/>
        <v>20.857142857142858</v>
      </c>
      <c r="I41" s="57">
        <f>SUM(D41:H41)</f>
        <v>104.28571428571429</v>
      </c>
    </row>
    <row r="42" spans="3:9" ht="12">
      <c r="C42" s="247" t="s">
        <v>0</v>
      </c>
      <c r="D42" s="57">
        <f>SUM(D38:D41)</f>
        <v>521.4285714285714</v>
      </c>
      <c r="E42" s="57">
        <f>SUM(E38:E41)</f>
        <v>521.4285714285714</v>
      </c>
      <c r="F42" s="57">
        <f>SUM(F38:F41)</f>
        <v>521.4285714285714</v>
      </c>
      <c r="G42" s="57">
        <f>SUM(G38:G41)</f>
        <v>521.4285714285714</v>
      </c>
      <c r="H42" s="57">
        <f>SUM(H38:H41)</f>
        <v>521.4285714285714</v>
      </c>
      <c r="I42" s="57">
        <f>SUM(D42:H42)</f>
        <v>2607.1428571428573</v>
      </c>
    </row>
    <row r="43" spans="3:9" ht="12.75">
      <c r="C43" s="250" t="s">
        <v>76</v>
      </c>
      <c r="D43" s="56"/>
      <c r="E43" s="56"/>
      <c r="F43" s="56"/>
      <c r="G43" s="56"/>
      <c r="H43" s="56"/>
      <c r="I43" s="56"/>
    </row>
    <row r="44" spans="3:9" ht="12">
      <c r="C44" s="247" t="str">
        <f>$C38</f>
        <v>Medicare</v>
      </c>
      <c r="D44" s="57">
        <f aca="true" t="shared" si="3" ref="D44:H47">D21/Avg.Res.LOS</f>
        <v>3102.5</v>
      </c>
      <c r="E44" s="57">
        <f t="shared" si="3"/>
        <v>3102.5</v>
      </c>
      <c r="F44" s="57">
        <f t="shared" si="3"/>
        <v>3102.5</v>
      </c>
      <c r="G44" s="57">
        <f t="shared" si="3"/>
        <v>3102.5</v>
      </c>
      <c r="H44" s="57">
        <f t="shared" si="3"/>
        <v>3102.5</v>
      </c>
      <c r="I44" s="57">
        <f>SUM(D44:H44)</f>
        <v>15512.5</v>
      </c>
    </row>
    <row r="45" spans="3:9" ht="12">
      <c r="C45" s="247" t="str">
        <f>$C39</f>
        <v>Medicaid</v>
      </c>
      <c r="D45" s="57">
        <f t="shared" si="3"/>
        <v>182.5</v>
      </c>
      <c r="E45" s="57">
        <f t="shared" si="3"/>
        <v>182.5</v>
      </c>
      <c r="F45" s="57">
        <f t="shared" si="3"/>
        <v>182.5</v>
      </c>
      <c r="G45" s="57">
        <f t="shared" si="3"/>
        <v>182.5</v>
      </c>
      <c r="H45" s="57">
        <f t="shared" si="3"/>
        <v>182.5</v>
      </c>
      <c r="I45" s="57">
        <f>SUM(D45:H45)</f>
        <v>912.5</v>
      </c>
    </row>
    <row r="46" spans="3:9" ht="12">
      <c r="C46" s="247" t="str">
        <f>$C40</f>
        <v>Commercial</v>
      </c>
      <c r="D46" s="57">
        <f t="shared" si="3"/>
        <v>218.99999999999997</v>
      </c>
      <c r="E46" s="57">
        <f t="shared" si="3"/>
        <v>218.99999999999997</v>
      </c>
      <c r="F46" s="57">
        <f t="shared" si="3"/>
        <v>218.99999999999997</v>
      </c>
      <c r="G46" s="57">
        <f t="shared" si="3"/>
        <v>218.99999999999997</v>
      </c>
      <c r="H46" s="57">
        <f t="shared" si="3"/>
        <v>218.99999999999997</v>
      </c>
      <c r="I46" s="57">
        <f>SUM(D46:H46)</f>
        <v>1094.9999999999998</v>
      </c>
    </row>
    <row r="47" spans="3:9" ht="12">
      <c r="C47" s="247" t="str">
        <f>$C41</f>
        <v>Indigent &amp; Other</v>
      </c>
      <c r="D47" s="57">
        <f t="shared" si="3"/>
        <v>146</v>
      </c>
      <c r="E47" s="57">
        <f t="shared" si="3"/>
        <v>146</v>
      </c>
      <c r="F47" s="57">
        <f t="shared" si="3"/>
        <v>146</v>
      </c>
      <c r="G47" s="57">
        <f t="shared" si="3"/>
        <v>146</v>
      </c>
      <c r="H47" s="57">
        <f t="shared" si="3"/>
        <v>146</v>
      </c>
      <c r="I47" s="57">
        <f>SUM(D47:H47)</f>
        <v>730</v>
      </c>
    </row>
    <row r="48" spans="3:9" ht="12">
      <c r="C48" s="247" t="str">
        <f>$C42</f>
        <v>Total</v>
      </c>
      <c r="D48" s="57">
        <f>SUM(D44:D47)</f>
        <v>3650</v>
      </c>
      <c r="E48" s="57">
        <f>SUM(E44:E47)</f>
        <v>3650</v>
      </c>
      <c r="F48" s="57">
        <f>SUM(F44:F47)</f>
        <v>3650</v>
      </c>
      <c r="G48" s="57">
        <f>SUM(G44:G47)</f>
        <v>3650</v>
      </c>
      <c r="H48" s="57">
        <f>SUM(H44:H47)</f>
        <v>3650</v>
      </c>
      <c r="I48" s="57">
        <f>SUM(D48:H48)</f>
        <v>18250</v>
      </c>
    </row>
    <row r="49" spans="3:9" ht="12.75">
      <c r="C49" s="250" t="s">
        <v>369</v>
      </c>
      <c r="D49" s="56"/>
      <c r="E49" s="56"/>
      <c r="F49" s="56"/>
      <c r="G49" s="56"/>
      <c r="H49" s="56"/>
      <c r="I49" s="56"/>
    </row>
    <row r="50" spans="3:9" ht="12">
      <c r="C50" s="247" t="str">
        <f>$C44</f>
        <v>Medicare</v>
      </c>
      <c r="D50" s="57">
        <f aca="true" t="shared" si="4" ref="D50:H53">D27/Avg.CC.LOS</f>
        <v>124.1</v>
      </c>
      <c r="E50" s="57">
        <f t="shared" si="4"/>
        <v>124.1</v>
      </c>
      <c r="F50" s="57">
        <f t="shared" si="4"/>
        <v>124.1</v>
      </c>
      <c r="G50" s="57">
        <f t="shared" si="4"/>
        <v>124.1</v>
      </c>
      <c r="H50" s="57">
        <f t="shared" si="4"/>
        <v>124.1</v>
      </c>
      <c r="I50" s="57">
        <f aca="true" t="shared" si="5" ref="I50:I55">SUM(D50:H50)</f>
        <v>620.5</v>
      </c>
    </row>
    <row r="51" spans="3:9" ht="12">
      <c r="C51" s="247" t="str">
        <f>$C45</f>
        <v>Medicaid</v>
      </c>
      <c r="D51" s="57">
        <f t="shared" si="4"/>
        <v>7.3</v>
      </c>
      <c r="E51" s="57">
        <f t="shared" si="4"/>
        <v>7.3</v>
      </c>
      <c r="F51" s="57">
        <f t="shared" si="4"/>
        <v>7.3</v>
      </c>
      <c r="G51" s="57">
        <f t="shared" si="4"/>
        <v>7.3</v>
      </c>
      <c r="H51" s="57">
        <f t="shared" si="4"/>
        <v>7.3</v>
      </c>
      <c r="I51" s="57">
        <f t="shared" si="5"/>
        <v>36.5</v>
      </c>
    </row>
    <row r="52" spans="3:9" ht="12">
      <c r="C52" s="247" t="str">
        <f>$C46</f>
        <v>Commercial</v>
      </c>
      <c r="D52" s="57">
        <f t="shared" si="4"/>
        <v>8.76</v>
      </c>
      <c r="E52" s="57">
        <f t="shared" si="4"/>
        <v>8.76</v>
      </c>
      <c r="F52" s="57">
        <f t="shared" si="4"/>
        <v>8.76</v>
      </c>
      <c r="G52" s="57">
        <f t="shared" si="4"/>
        <v>8.76</v>
      </c>
      <c r="H52" s="57">
        <f t="shared" si="4"/>
        <v>8.76</v>
      </c>
      <c r="I52" s="57">
        <f t="shared" si="5"/>
        <v>43.8</v>
      </c>
    </row>
    <row r="53" spans="3:9" ht="12">
      <c r="C53" s="247" t="str">
        <f>$C47</f>
        <v>Indigent &amp; Other</v>
      </c>
      <c r="D53" s="57">
        <f t="shared" si="4"/>
        <v>5.84</v>
      </c>
      <c r="E53" s="57">
        <f t="shared" si="4"/>
        <v>5.84</v>
      </c>
      <c r="F53" s="57">
        <f t="shared" si="4"/>
        <v>5.84</v>
      </c>
      <c r="G53" s="57">
        <f t="shared" si="4"/>
        <v>5.84</v>
      </c>
      <c r="H53" s="57">
        <f t="shared" si="4"/>
        <v>5.84</v>
      </c>
      <c r="I53" s="57">
        <f t="shared" si="5"/>
        <v>29.2</v>
      </c>
    </row>
    <row r="54" spans="3:9" ht="12">
      <c r="C54" s="247" t="str">
        <f>$C48</f>
        <v>Total</v>
      </c>
      <c r="D54" s="57">
        <f>SUM(D50:D53)</f>
        <v>146</v>
      </c>
      <c r="E54" s="57">
        <f>SUM(E50:E53)</f>
        <v>146</v>
      </c>
      <c r="F54" s="57">
        <f>SUM(F50:F53)</f>
        <v>146</v>
      </c>
      <c r="G54" s="57">
        <f>SUM(G50:G53)</f>
        <v>146</v>
      </c>
      <c r="H54" s="57">
        <f>SUM(H50:H53)</f>
        <v>146</v>
      </c>
      <c r="I54" s="57">
        <f t="shared" si="5"/>
        <v>730</v>
      </c>
    </row>
    <row r="55" spans="3:9" ht="12.75">
      <c r="C55" s="257" t="s">
        <v>367</v>
      </c>
      <c r="D55" s="258">
        <f>D42+D48+D54</f>
        <v>4317.428571428572</v>
      </c>
      <c r="E55" s="258">
        <f>E42+E48+E54</f>
        <v>4317.428571428572</v>
      </c>
      <c r="F55" s="258">
        <f>F42+F48+F54</f>
        <v>4317.428571428572</v>
      </c>
      <c r="G55" s="258">
        <f>G42+G48+G54</f>
        <v>4317.428571428572</v>
      </c>
      <c r="H55" s="258">
        <f>H42+H48+H54</f>
        <v>4317.428571428572</v>
      </c>
      <c r="I55" s="258">
        <f t="shared" si="5"/>
        <v>21587.14285714286</v>
      </c>
    </row>
    <row r="56" spans="3:8" ht="12">
      <c r="C56" s="253"/>
      <c r="D56" s="254"/>
      <c r="E56" s="254"/>
      <c r="F56" s="254"/>
      <c r="G56" s="255"/>
      <c r="H56" s="255"/>
    </row>
    <row r="57" ht="12.75">
      <c r="C57" s="41" t="s">
        <v>154</v>
      </c>
    </row>
    <row r="58" spans="3:9" ht="12.75">
      <c r="C58" s="51" t="s">
        <v>152</v>
      </c>
      <c r="D58" s="52" t="str">
        <f aca="true" t="shared" si="6" ref="D58:H59">D12</f>
        <v>FY-1</v>
      </c>
      <c r="E58" s="52" t="str">
        <f t="shared" si="6"/>
        <v>FY-2</v>
      </c>
      <c r="F58" s="52" t="str">
        <f t="shared" si="6"/>
        <v>FY-3</v>
      </c>
      <c r="G58" s="52" t="str">
        <f t="shared" si="6"/>
        <v>FY-4</v>
      </c>
      <c r="H58" s="52" t="str">
        <f t="shared" si="6"/>
        <v>FY-5</v>
      </c>
      <c r="I58" s="51"/>
    </row>
    <row r="59" spans="3:9" ht="12.75">
      <c r="C59" s="53" t="s">
        <v>153</v>
      </c>
      <c r="D59" s="54">
        <f t="shared" si="6"/>
        <v>2018</v>
      </c>
      <c r="E59" s="54">
        <f t="shared" si="6"/>
        <v>2019</v>
      </c>
      <c r="F59" s="54">
        <f t="shared" si="6"/>
        <v>2020</v>
      </c>
      <c r="G59" s="54">
        <f t="shared" si="6"/>
        <v>2021</v>
      </c>
      <c r="H59" s="54">
        <f t="shared" si="6"/>
        <v>2022</v>
      </c>
      <c r="I59" s="53" t="s">
        <v>310</v>
      </c>
    </row>
    <row r="60" spans="3:9" ht="12">
      <c r="C60" s="55" t="s">
        <v>149</v>
      </c>
      <c r="D60" s="259">
        <f>Avg.IP.LOS</f>
        <v>5.6</v>
      </c>
      <c r="E60" s="259">
        <f>Avg.IP.LOS</f>
        <v>5.6</v>
      </c>
      <c r="F60" s="259">
        <f>Avg.IP.LOS</f>
        <v>5.6</v>
      </c>
      <c r="G60" s="259">
        <f>Avg.IP.LOS</f>
        <v>5.6</v>
      </c>
      <c r="H60" s="259">
        <f>Avg.IP.LOS</f>
        <v>5.6</v>
      </c>
      <c r="I60" s="260">
        <f>AVERAGE(D60:H60)</f>
        <v>5.6</v>
      </c>
    </row>
    <row r="61" spans="3:9" ht="12">
      <c r="C61" s="55" t="s">
        <v>76</v>
      </c>
      <c r="D61" s="259">
        <f>Avg.Res.LOS</f>
        <v>0.1</v>
      </c>
      <c r="E61" s="259">
        <f>Avg.Res.LOS</f>
        <v>0.1</v>
      </c>
      <c r="F61" s="259">
        <f>Avg.Res.LOS</f>
        <v>0.1</v>
      </c>
      <c r="G61" s="259">
        <f>Avg.Res.LOS</f>
        <v>0.1</v>
      </c>
      <c r="H61" s="259">
        <f>Avg.Res.LOS</f>
        <v>0.1</v>
      </c>
      <c r="I61" s="260">
        <f>AVERAGE(D61:H61)</f>
        <v>0.1</v>
      </c>
    </row>
    <row r="62" spans="3:9" ht="12">
      <c r="C62" s="55" t="s">
        <v>369</v>
      </c>
      <c r="D62" s="259">
        <f>Avg.CC.LOS</f>
        <v>5</v>
      </c>
      <c r="E62" s="259">
        <f>Avg.CC.LOS</f>
        <v>5</v>
      </c>
      <c r="F62" s="259">
        <f>Avg.CC.LOS</f>
        <v>5</v>
      </c>
      <c r="G62" s="259">
        <f>Avg.CC.LOS</f>
        <v>5</v>
      </c>
      <c r="H62" s="259">
        <f>Avg.CC.LOS</f>
        <v>5</v>
      </c>
      <c r="I62" s="260">
        <f>AVERAGE(D62:H62)</f>
        <v>5</v>
      </c>
    </row>
    <row r="63" spans="3:9" ht="12">
      <c r="C63" s="55" t="str">
        <f>C19</f>
        <v>Total</v>
      </c>
      <c r="D63" s="259">
        <f>(D32/D55)</f>
        <v>0.9299516908212561</v>
      </c>
      <c r="E63" s="259">
        <f>(E32/E55)</f>
        <v>0.9299516908212561</v>
      </c>
      <c r="F63" s="259">
        <f>(F32/F55)</f>
        <v>0.9299516908212561</v>
      </c>
      <c r="G63" s="259">
        <f>(G32/G55)</f>
        <v>0.9299516908212561</v>
      </c>
      <c r="H63" s="259">
        <f>(H32/H55)</f>
        <v>0.9299516908212561</v>
      </c>
      <c r="I63" s="260">
        <f>AVERAGE(D63:H63)</f>
        <v>0.929951690821256</v>
      </c>
    </row>
    <row r="65" ht="12.75">
      <c r="C65" s="41" t="s">
        <v>368</v>
      </c>
    </row>
    <row r="66" spans="3:9" ht="12.75">
      <c r="C66" s="51" t="s">
        <v>155</v>
      </c>
      <c r="D66" s="52" t="str">
        <f aca="true" t="shared" si="7" ref="D66:H67">D12</f>
        <v>FY-1</v>
      </c>
      <c r="E66" s="52" t="str">
        <f t="shared" si="7"/>
        <v>FY-2</v>
      </c>
      <c r="F66" s="52" t="str">
        <f t="shared" si="7"/>
        <v>FY-3</v>
      </c>
      <c r="G66" s="52" t="str">
        <f t="shared" si="7"/>
        <v>FY-4</v>
      </c>
      <c r="H66" s="52" t="str">
        <f t="shared" si="7"/>
        <v>FY-5</v>
      </c>
      <c r="I66" s="51"/>
    </row>
    <row r="67" spans="3:9" ht="12.75">
      <c r="C67" s="53" t="s">
        <v>156</v>
      </c>
      <c r="D67" s="54">
        <f t="shared" si="7"/>
        <v>2018</v>
      </c>
      <c r="E67" s="54">
        <f t="shared" si="7"/>
        <v>2019</v>
      </c>
      <c r="F67" s="54">
        <f t="shared" si="7"/>
        <v>2020</v>
      </c>
      <c r="G67" s="54">
        <f t="shared" si="7"/>
        <v>2021</v>
      </c>
      <c r="H67" s="54">
        <f t="shared" si="7"/>
        <v>2022</v>
      </c>
      <c r="I67" s="53" t="s">
        <v>310</v>
      </c>
    </row>
    <row r="68" spans="3:9" ht="12">
      <c r="C68" s="55" t="s">
        <v>371</v>
      </c>
      <c r="D68" s="262">
        <v>12</v>
      </c>
      <c r="E68" s="262">
        <v>12</v>
      </c>
      <c r="F68" s="262">
        <v>12</v>
      </c>
      <c r="G68" s="262">
        <v>12</v>
      </c>
      <c r="H68" s="262">
        <v>12</v>
      </c>
      <c r="I68" s="260">
        <f>AVERAGE(D68:H68)</f>
        <v>12</v>
      </c>
    </row>
    <row r="69" spans="3:9" ht="12">
      <c r="C69" s="55" t="s">
        <v>372</v>
      </c>
      <c r="D69" s="262">
        <v>0</v>
      </c>
      <c r="E69" s="262">
        <v>0</v>
      </c>
      <c r="F69" s="262">
        <v>0</v>
      </c>
      <c r="G69" s="262">
        <v>0</v>
      </c>
      <c r="H69" s="262">
        <v>0</v>
      </c>
      <c r="I69" s="260">
        <f>AVERAGE(D69:H69)</f>
        <v>0</v>
      </c>
    </row>
    <row r="70" spans="3:9" ht="12.75">
      <c r="C70" s="250" t="s">
        <v>373</v>
      </c>
      <c r="D70" s="56"/>
      <c r="E70" s="56"/>
      <c r="F70" s="56"/>
      <c r="G70" s="56"/>
      <c r="H70" s="56"/>
      <c r="I70" s="56"/>
    </row>
    <row r="71" spans="3:9" ht="12">
      <c r="C71" s="55" t="s">
        <v>228</v>
      </c>
      <c r="D71" s="263">
        <f>'Pro Forma IS'!G$4/Number.of.Beds</f>
        <v>0.6666666666666666</v>
      </c>
      <c r="E71" s="263">
        <f>'Pro Forma IS'!H$4/Number.of.Beds</f>
        <v>0.6666666666666666</v>
      </c>
      <c r="F71" s="263">
        <f>'Pro Forma IS'!I$4/Number.of.Beds</f>
        <v>0.6666666666666666</v>
      </c>
      <c r="G71" s="263">
        <f>'Pro Forma IS'!J$4/Number.of.Beds</f>
        <v>0.6666666666666666</v>
      </c>
      <c r="H71" s="263">
        <f>'Pro Forma IS'!K$4/Number.of.Beds</f>
        <v>0.6666666666666666</v>
      </c>
      <c r="I71" s="265">
        <f>AVERAGE(D71:H71)</f>
        <v>0.6666666666666666</v>
      </c>
    </row>
    <row r="72" spans="3:9" ht="12">
      <c r="C72" s="55" t="s">
        <v>76</v>
      </c>
      <c r="D72" s="263">
        <f>'Pro Forma IS'!G$5/Number.of.Beds</f>
        <v>0.08333333333333333</v>
      </c>
      <c r="E72" s="263">
        <f>'Pro Forma IS'!H$5/Number.of.Beds</f>
        <v>0.08333333333333333</v>
      </c>
      <c r="F72" s="263">
        <f>'Pro Forma IS'!I$5/Number.of.Beds</f>
        <v>0.08333333333333333</v>
      </c>
      <c r="G72" s="263">
        <f>'Pro Forma IS'!J$5/Number.of.Beds</f>
        <v>0.08333333333333333</v>
      </c>
      <c r="H72" s="263">
        <f>'Pro Forma IS'!K$5/Number.of.Beds</f>
        <v>0.08333333333333333</v>
      </c>
      <c r="I72" s="265">
        <f>AVERAGE(D72:H72)</f>
        <v>0.08333333333333333</v>
      </c>
    </row>
    <row r="73" spans="3:9" ht="12">
      <c r="C73" s="55" t="s">
        <v>369</v>
      </c>
      <c r="D73" s="263">
        <f>'Pro Forma IS'!G$6/Number.of.Beds</f>
        <v>0.16666666666666666</v>
      </c>
      <c r="E73" s="263">
        <f>'Pro Forma IS'!H$6/Number.of.Beds</f>
        <v>0.16666666666666666</v>
      </c>
      <c r="F73" s="263">
        <f>'Pro Forma IS'!I$6/Number.of.Beds</f>
        <v>0.16666666666666666</v>
      </c>
      <c r="G73" s="263">
        <f>'Pro Forma IS'!J$6/Number.of.Beds</f>
        <v>0.16666666666666666</v>
      </c>
      <c r="H73" s="263">
        <f>'Pro Forma IS'!K$6/Number.of.Beds</f>
        <v>0.16666666666666666</v>
      </c>
      <c r="I73" s="265">
        <f>AVERAGE(D73:H73)</f>
        <v>0.16666666666666666</v>
      </c>
    </row>
    <row r="74" spans="3:9" ht="12.75">
      <c r="C74" s="249" t="str">
        <f>C19</f>
        <v>Total</v>
      </c>
      <c r="D74" s="264">
        <f>SUM('Pro Forma IS'!G$4:'Pro Forma IS'!G$6)/Number.of.Beds</f>
        <v>0.9166666666666666</v>
      </c>
      <c r="E74" s="264">
        <f>SUM('Pro Forma IS'!H$4:'Pro Forma IS'!H$6)/Number.of.Beds</f>
        <v>0.9166666666666666</v>
      </c>
      <c r="F74" s="264">
        <f>SUM('Pro Forma IS'!I$4:'Pro Forma IS'!I$6)/Number.of.Beds</f>
        <v>0.9166666666666666</v>
      </c>
      <c r="G74" s="264">
        <f>SUM('Pro Forma IS'!J$4:'Pro Forma IS'!J$6)/Number.of.Beds</f>
        <v>0.9166666666666666</v>
      </c>
      <c r="H74" s="264">
        <f>SUM('Pro Forma IS'!K$4:'Pro Forma IS'!K$6)/Number.of.Beds</f>
        <v>0.9166666666666666</v>
      </c>
      <c r="I74" s="264">
        <f>AVERAGE(D74:H74)</f>
        <v>0.9166666666666666</v>
      </c>
    </row>
    <row r="76" ht="12">
      <c r="C76" s="59" t="str">
        <f>Reserved</f>
        <v>This product was created by Multi-View Incorporated.  It is reserved for the exclusive use of MVI clients. Need help?  828-698-5885</v>
      </c>
    </row>
  </sheetData>
  <sheetProtection password="DFAD" sheet="1" objects="1" scenarios="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indexed="10"/>
  </sheetPr>
  <dimension ref="A1:O58"/>
  <sheetViews>
    <sheetView showGridLines="0" zoomScalePageLayoutView="0" workbookViewId="0" topLeftCell="A1">
      <pane xSplit="6" ySplit="2" topLeftCell="G3" activePane="bottomRight" state="frozen"/>
      <selection pane="topLeft" activeCell="A1" sqref="A1"/>
      <selection pane="topRight" activeCell="G1" sqref="G1"/>
      <selection pane="bottomLeft" activeCell="A3" sqref="A3"/>
      <selection pane="bottomRight" activeCell="A23" sqref="A23"/>
    </sheetView>
  </sheetViews>
  <sheetFormatPr defaultColWidth="9.140625" defaultRowHeight="12.75"/>
  <cols>
    <col min="1" max="1" width="1.28515625" style="34" customWidth="1"/>
    <col min="2" max="2" width="3.7109375" style="34" customWidth="1"/>
    <col min="3" max="3" width="3.28125" style="34" customWidth="1"/>
    <col min="4" max="4" width="2.7109375" style="34" customWidth="1"/>
    <col min="5" max="5" width="6.8515625" style="34" customWidth="1"/>
    <col min="6" max="6" width="19.57421875" style="34" customWidth="1"/>
    <col min="7" max="7" width="12.7109375" style="34" customWidth="1"/>
    <col min="8" max="9" width="11.57421875" style="34" customWidth="1"/>
    <col min="10" max="10" width="12.28125" style="34" customWidth="1"/>
    <col min="11" max="12" width="13.28125" style="34" customWidth="1"/>
    <col min="13" max="13" width="10.7109375" style="34" customWidth="1"/>
    <col min="14" max="14" width="8.00390625" style="34" customWidth="1"/>
    <col min="15" max="15" width="8.140625" style="34" customWidth="1"/>
    <col min="16" max="16384" width="9.140625" style="34" customWidth="1"/>
  </cols>
  <sheetData>
    <row r="1" spans="1:15" ht="12.75">
      <c r="A1" s="85" t="s">
        <v>392</v>
      </c>
      <c r="G1" s="85" t="str">
        <f>Title</f>
        <v>IPU Management Model</v>
      </c>
      <c r="H1" s="85"/>
      <c r="J1" s="146" t="s">
        <v>278</v>
      </c>
      <c r="K1" s="155">
        <f>Version</f>
        <v>20</v>
      </c>
      <c r="M1" s="43" t="s">
        <v>160</v>
      </c>
      <c r="N1" s="44" t="str">
        <f>Name</f>
        <v>Sunny Day Hospice</v>
      </c>
      <c r="O1" s="45"/>
    </row>
    <row r="2" spans="7:15" s="86" customFormat="1" ht="12.75">
      <c r="G2" s="289" t="s">
        <v>400</v>
      </c>
      <c r="H2" s="289" t="s">
        <v>110</v>
      </c>
      <c r="I2" s="289" t="s">
        <v>401</v>
      </c>
      <c r="J2" s="289" t="s">
        <v>402</v>
      </c>
      <c r="K2" s="289" t="s">
        <v>403</v>
      </c>
      <c r="L2" s="35" t="s">
        <v>0</v>
      </c>
      <c r="M2" s="43" t="s">
        <v>161</v>
      </c>
      <c r="N2" s="44" t="str">
        <f>CON.Number</f>
        <v>XX-XXX</v>
      </c>
      <c r="O2" s="45"/>
    </row>
    <row r="3" spans="1:15" ht="11.25">
      <c r="A3" s="85" t="s">
        <v>1</v>
      </c>
      <c r="M3" s="43" t="s">
        <v>162</v>
      </c>
      <c r="N3" s="46" t="s">
        <v>167</v>
      </c>
      <c r="O3" s="47" t="str">
        <f>state</f>
        <v>GA</v>
      </c>
    </row>
    <row r="4" spans="2:15" ht="11.25">
      <c r="B4" s="34" t="s">
        <v>2</v>
      </c>
      <c r="G4" s="175">
        <v>8</v>
      </c>
      <c r="H4" s="175">
        <v>8</v>
      </c>
      <c r="I4" s="175">
        <v>8</v>
      </c>
      <c r="J4" s="175">
        <v>8</v>
      </c>
      <c r="K4" s="175">
        <v>8</v>
      </c>
      <c r="L4" s="87"/>
      <c r="M4" s="43" t="s">
        <v>163</v>
      </c>
      <c r="N4" s="48">
        <v>1</v>
      </c>
      <c r="O4" s="49" t="str">
        <f>Submission.Date</f>
        <v>3/30/17</v>
      </c>
    </row>
    <row r="5" spans="2:12" ht="11.25">
      <c r="B5" s="34" t="s">
        <v>3</v>
      </c>
      <c r="G5" s="175">
        <v>1</v>
      </c>
      <c r="H5" s="175">
        <v>1</v>
      </c>
      <c r="I5" s="175">
        <v>1</v>
      </c>
      <c r="J5" s="175">
        <v>1</v>
      </c>
      <c r="K5" s="175">
        <v>1</v>
      </c>
      <c r="L5" s="87"/>
    </row>
    <row r="6" spans="2:12" ht="11.25">
      <c r="B6" s="34" t="s">
        <v>319</v>
      </c>
      <c r="G6" s="175">
        <v>2</v>
      </c>
      <c r="H6" s="175">
        <v>2</v>
      </c>
      <c r="I6" s="175">
        <v>2</v>
      </c>
      <c r="J6" s="175">
        <v>2</v>
      </c>
      <c r="K6" s="175">
        <v>2</v>
      </c>
      <c r="L6" s="87"/>
    </row>
    <row r="7" spans="2:12" ht="11.25">
      <c r="B7" s="34" t="s">
        <v>4</v>
      </c>
      <c r="G7" s="29">
        <f>G4*G10</f>
        <v>2920</v>
      </c>
      <c r="H7" s="29">
        <f>H4*H10</f>
        <v>2920</v>
      </c>
      <c r="I7" s="29">
        <f>I4*I10</f>
        <v>2920</v>
      </c>
      <c r="J7" s="29">
        <f>J4*J10</f>
        <v>2920</v>
      </c>
      <c r="K7" s="29">
        <f>K4*K10</f>
        <v>2920</v>
      </c>
      <c r="L7" s="29">
        <f>SUM(G7:K7)</f>
        <v>14600</v>
      </c>
    </row>
    <row r="8" spans="2:12" ht="11.25">
      <c r="B8" s="34" t="s">
        <v>5</v>
      </c>
      <c r="G8" s="29">
        <f>G5*G10</f>
        <v>365</v>
      </c>
      <c r="H8" s="29">
        <f>H5*H10</f>
        <v>365</v>
      </c>
      <c r="I8" s="29">
        <f>I5*I10</f>
        <v>365</v>
      </c>
      <c r="J8" s="29">
        <f>J5*J10</f>
        <v>365</v>
      </c>
      <c r="K8" s="29">
        <f>K5*K10</f>
        <v>365</v>
      </c>
      <c r="L8" s="29">
        <f>SUM(G8:K8)</f>
        <v>1825</v>
      </c>
    </row>
    <row r="9" spans="2:12" ht="11.25">
      <c r="B9" s="34" t="s">
        <v>320</v>
      </c>
      <c r="G9" s="29">
        <f>G6*G10</f>
        <v>730</v>
      </c>
      <c r="H9" s="29">
        <f>H6*H10</f>
        <v>730</v>
      </c>
      <c r="I9" s="29">
        <f>I6*I10</f>
        <v>730</v>
      </c>
      <c r="J9" s="29">
        <f>J6*J10</f>
        <v>730</v>
      </c>
      <c r="K9" s="29">
        <f>K6*K10</f>
        <v>730</v>
      </c>
      <c r="L9" s="29">
        <f>SUM(G9:K9)</f>
        <v>3650</v>
      </c>
    </row>
    <row r="10" spans="2:12" ht="11.25">
      <c r="B10" s="34" t="s">
        <v>209</v>
      </c>
      <c r="G10" s="170">
        <v>365</v>
      </c>
      <c r="H10" s="170">
        <v>365</v>
      </c>
      <c r="I10" s="170">
        <v>365</v>
      </c>
      <c r="J10" s="170">
        <v>365</v>
      </c>
      <c r="K10" s="170">
        <v>365</v>
      </c>
      <c r="L10" s="29">
        <f>SUM(G10:K10)</f>
        <v>1825</v>
      </c>
    </row>
    <row r="11" ht="11.25"/>
    <row r="12" ht="11.25">
      <c r="A12" s="85" t="s">
        <v>6</v>
      </c>
    </row>
    <row r="13" spans="2:15" ht="11.25">
      <c r="B13" s="34" t="s">
        <v>7</v>
      </c>
      <c r="G13" s="29">
        <f>Revenue!F$20</f>
        <v>2880091.776</v>
      </c>
      <c r="H13" s="29">
        <f>Revenue!G$20</f>
        <v>2908892.69376</v>
      </c>
      <c r="I13" s="29">
        <f>Revenue!H$20</f>
        <v>2908892.69376</v>
      </c>
      <c r="J13" s="29">
        <f>Revenue!I$20</f>
        <v>2908892.69376</v>
      </c>
      <c r="K13" s="29">
        <f>Revenue!J$20</f>
        <v>2908892.69376</v>
      </c>
      <c r="L13" s="29">
        <f aca="true" t="shared" si="0" ref="L13:L19">SUM(G13:K13)</f>
        <v>14515662.551040001</v>
      </c>
      <c r="M13" s="29"/>
      <c r="N13" s="29"/>
      <c r="O13" s="29"/>
    </row>
    <row r="14" spans="2:15" ht="11.25">
      <c r="B14" s="34" t="s">
        <v>8</v>
      </c>
      <c r="G14" s="29">
        <f>Revenue!F$34</f>
        <v>63736.3</v>
      </c>
      <c r="H14" s="29">
        <f>Revenue!G$34</f>
        <v>64373.663</v>
      </c>
      <c r="I14" s="29">
        <f>Revenue!H$34</f>
        <v>64373.663</v>
      </c>
      <c r="J14" s="29">
        <f>Revenue!I$34</f>
        <v>64373.663</v>
      </c>
      <c r="K14" s="29">
        <f>Revenue!J$34</f>
        <v>64373.663</v>
      </c>
      <c r="L14" s="29">
        <f t="shared" si="0"/>
        <v>321230.952</v>
      </c>
      <c r="M14" s="29"/>
      <c r="N14" s="29"/>
      <c r="O14" s="29"/>
    </row>
    <row r="15" spans="2:15" ht="11.25">
      <c r="B15" s="34" t="s">
        <v>285</v>
      </c>
      <c r="G15" s="29">
        <f>Revenue!F48</f>
        <v>315205.82399999996</v>
      </c>
      <c r="H15" s="29">
        <f>Revenue!G48</f>
        <v>318357.88224</v>
      </c>
      <c r="I15" s="29">
        <f>Revenue!H48</f>
        <v>318357.88224</v>
      </c>
      <c r="J15" s="29">
        <f>Revenue!I48</f>
        <v>318357.88224</v>
      </c>
      <c r="K15" s="29">
        <f>Revenue!J48</f>
        <v>318357.88224</v>
      </c>
      <c r="L15" s="29">
        <f t="shared" si="0"/>
        <v>1588637.3529599998</v>
      </c>
      <c r="M15" s="29"/>
      <c r="N15" s="29"/>
      <c r="O15" s="29"/>
    </row>
    <row r="16" spans="2:15" ht="11.25">
      <c r="B16" s="34" t="s">
        <v>9</v>
      </c>
      <c r="G16" s="29">
        <f>Revenue!F$23</f>
        <v>-57601.83552</v>
      </c>
      <c r="H16" s="29">
        <f>Revenue!G$23</f>
        <v>-58177.8538752</v>
      </c>
      <c r="I16" s="29">
        <f>Revenue!H$23</f>
        <v>-58177.8538752</v>
      </c>
      <c r="J16" s="29">
        <f>Revenue!I$23</f>
        <v>-58177.8538752</v>
      </c>
      <c r="K16" s="29">
        <f>Revenue!J$23</f>
        <v>-58177.8538752</v>
      </c>
      <c r="L16" s="29">
        <f t="shared" si="0"/>
        <v>-290313.2510208</v>
      </c>
      <c r="M16" s="29"/>
      <c r="N16" s="29"/>
      <c r="O16" s="29"/>
    </row>
    <row r="17" spans="2:15" ht="11.25">
      <c r="B17" s="34" t="s">
        <v>10</v>
      </c>
      <c r="G17" s="30">
        <f>Revenue!F$37</f>
        <v>-1274.726</v>
      </c>
      <c r="H17" s="30">
        <f>Revenue!G$37</f>
        <v>-1287.47326</v>
      </c>
      <c r="I17" s="30">
        <f>Revenue!H$37</f>
        <v>-1287.47326</v>
      </c>
      <c r="J17" s="30">
        <f>Revenue!I$37</f>
        <v>-1287.47326</v>
      </c>
      <c r="K17" s="30">
        <f>Revenue!J$37</f>
        <v>-1287.47326</v>
      </c>
      <c r="L17" s="29">
        <f t="shared" si="0"/>
        <v>-6424.61904</v>
      </c>
      <c r="M17" s="29"/>
      <c r="N17" s="29"/>
      <c r="O17" s="29"/>
    </row>
    <row r="18" spans="2:15" ht="11.25">
      <c r="B18" s="34" t="s">
        <v>321</v>
      </c>
      <c r="G18" s="30">
        <f>Revenue!F51</f>
        <v>-31520.5824</v>
      </c>
      <c r="H18" s="30">
        <f>Revenue!G51</f>
        <v>-31835.788224000004</v>
      </c>
      <c r="I18" s="30">
        <f>Revenue!H51</f>
        <v>-31835.788224000004</v>
      </c>
      <c r="J18" s="30">
        <f>Revenue!I51</f>
        <v>-31835.788224000004</v>
      </c>
      <c r="K18" s="30">
        <f>Revenue!J51</f>
        <v>-31835.788224000004</v>
      </c>
      <c r="L18" s="29">
        <f t="shared" si="0"/>
        <v>-158863.73529600003</v>
      </c>
      <c r="M18" s="29"/>
      <c r="N18" s="29"/>
      <c r="O18" s="29"/>
    </row>
    <row r="19" spans="2:15" ht="11.25">
      <c r="B19" s="34" t="s">
        <v>381</v>
      </c>
      <c r="G19" s="30">
        <f>Revenue!F60</f>
        <v>87600</v>
      </c>
      <c r="H19" s="30">
        <f>Revenue!G60</f>
        <v>87600</v>
      </c>
      <c r="I19" s="30">
        <f>Revenue!H60</f>
        <v>87600</v>
      </c>
      <c r="J19" s="30">
        <f>Revenue!I60</f>
        <v>87600</v>
      </c>
      <c r="K19" s="30">
        <f>Revenue!J60</f>
        <v>87600</v>
      </c>
      <c r="L19" s="29">
        <f t="shared" si="0"/>
        <v>438000</v>
      </c>
      <c r="M19" s="29"/>
      <c r="N19" s="29"/>
      <c r="O19" s="29"/>
    </row>
    <row r="20" spans="3:15" ht="11.25">
      <c r="C20" s="89" t="s">
        <v>330</v>
      </c>
      <c r="G20" s="31">
        <f aca="true" t="shared" si="1" ref="G20:L20">SUM(G13:G19)</f>
        <v>3256236.7560799997</v>
      </c>
      <c r="H20" s="31">
        <f t="shared" si="1"/>
        <v>3287923.123640801</v>
      </c>
      <c r="I20" s="31">
        <f t="shared" si="1"/>
        <v>3287923.123640801</v>
      </c>
      <c r="J20" s="31">
        <f t="shared" si="1"/>
        <v>3287923.123640801</v>
      </c>
      <c r="K20" s="31">
        <f t="shared" si="1"/>
        <v>3287923.123640801</v>
      </c>
      <c r="L20" s="31">
        <f t="shared" si="1"/>
        <v>16407929.250643201</v>
      </c>
      <c r="M20" s="30"/>
      <c r="N20" s="30"/>
      <c r="O20" s="30"/>
    </row>
    <row r="21" spans="7:15" ht="11.25">
      <c r="G21" s="29"/>
      <c r="H21" s="29"/>
      <c r="I21" s="29"/>
      <c r="J21" s="29"/>
      <c r="K21" s="29"/>
      <c r="L21" s="29"/>
      <c r="M21" s="29"/>
      <c r="N21" s="29"/>
      <c r="O21" s="29"/>
    </row>
    <row r="22" spans="1:15" ht="11.25">
      <c r="A22" s="85" t="s">
        <v>12</v>
      </c>
      <c r="G22" s="29"/>
      <c r="H22" s="29"/>
      <c r="I22" s="29"/>
      <c r="J22" s="29"/>
      <c r="K22" s="29"/>
      <c r="L22" s="29"/>
      <c r="M22" s="29"/>
      <c r="N22" s="29"/>
      <c r="O22" s="29"/>
    </row>
    <row r="23" spans="2:15" ht="11.25">
      <c r="B23" s="34" t="s">
        <v>13</v>
      </c>
      <c r="G23" s="29">
        <f>Staffing!F177</f>
        <v>1796492.7577404582</v>
      </c>
      <c r="H23" s="29">
        <f>Staffing!G177</f>
        <v>1850387.5404726719</v>
      </c>
      <c r="I23" s="29">
        <f>Staffing!H177</f>
        <v>1904282.3232048857</v>
      </c>
      <c r="J23" s="29">
        <f>Staffing!I177</f>
        <v>1958177.1059370995</v>
      </c>
      <c r="K23" s="29">
        <f>Staffing!J177</f>
        <v>2012071.888669313</v>
      </c>
      <c r="L23" s="29">
        <f>SUM(G23:K23)</f>
        <v>9521411.616024427</v>
      </c>
      <c r="M23" s="29"/>
      <c r="N23" s="29"/>
      <c r="O23" s="29"/>
    </row>
    <row r="24" spans="2:15" ht="11.25">
      <c r="B24" s="34" t="s">
        <v>14</v>
      </c>
      <c r="G24" s="29">
        <f>'Patient Related'!H$28</f>
        <v>233305.08000000002</v>
      </c>
      <c r="H24" s="29">
        <f>'Patient Related'!I$28</f>
        <v>240304.23240000004</v>
      </c>
      <c r="I24" s="29">
        <f>'Patient Related'!J$28</f>
        <v>247303.38480000003</v>
      </c>
      <c r="J24" s="29">
        <f>'Patient Related'!K$28</f>
        <v>254302.53719999996</v>
      </c>
      <c r="K24" s="29">
        <f>'Patient Related'!L$28</f>
        <v>261301.68960000004</v>
      </c>
      <c r="L24" s="29">
        <f>SUM(G24:K24)</f>
        <v>1236516.924</v>
      </c>
      <c r="M24" s="29"/>
      <c r="N24" s="29"/>
      <c r="O24" s="29"/>
    </row>
    <row r="25" spans="2:15" ht="11.25">
      <c r="B25" s="34" t="s">
        <v>15</v>
      </c>
      <c r="G25" s="29">
        <f>'Patient Related'!H$46</f>
        <v>29163.135000000002</v>
      </c>
      <c r="H25" s="29">
        <f>'Patient Related'!I$46</f>
        <v>30038.029050000005</v>
      </c>
      <c r="I25" s="29">
        <f>'Patient Related'!J$46</f>
        <v>30912.923100000004</v>
      </c>
      <c r="J25" s="29">
        <f>'Patient Related'!K$46</f>
        <v>31787.817149999995</v>
      </c>
      <c r="K25" s="29">
        <f>'Patient Related'!L$46</f>
        <v>32662.711200000005</v>
      </c>
      <c r="L25" s="29">
        <f>SUM(G25:K25)</f>
        <v>154564.6155</v>
      </c>
      <c r="M25" s="29"/>
      <c r="N25" s="29"/>
      <c r="O25" s="29"/>
    </row>
    <row r="26" spans="2:15" ht="11.25">
      <c r="B26" s="34" t="s">
        <v>322</v>
      </c>
      <c r="G26" s="29">
        <f>'Patient Related'!H64</f>
        <v>58326.270000000004</v>
      </c>
      <c r="H26" s="29">
        <f>'Patient Related'!I64</f>
        <v>60076.05810000001</v>
      </c>
      <c r="I26" s="29">
        <f>'Patient Related'!J64</f>
        <v>61825.84620000001</v>
      </c>
      <c r="J26" s="29">
        <f>'Patient Related'!K64</f>
        <v>63575.63429999999</v>
      </c>
      <c r="K26" s="29">
        <f>'Patient Related'!L64</f>
        <v>65325.42240000001</v>
      </c>
      <c r="L26" s="29">
        <f>SUM(G26:K26)</f>
        <v>309129.231</v>
      </c>
      <c r="M26" s="29"/>
      <c r="N26" s="29"/>
      <c r="O26" s="29"/>
    </row>
    <row r="27" spans="3:15" ht="11.25">
      <c r="C27" s="89" t="s">
        <v>396</v>
      </c>
      <c r="G27" s="31">
        <f aca="true" t="shared" si="2" ref="G27:L27">SUM(G23:G26)</f>
        <v>2117287.2427404583</v>
      </c>
      <c r="H27" s="31">
        <f t="shared" si="2"/>
        <v>2180805.860022672</v>
      </c>
      <c r="I27" s="31">
        <f t="shared" si="2"/>
        <v>2244324.4773048856</v>
      </c>
      <c r="J27" s="31">
        <f t="shared" si="2"/>
        <v>2307843.0945870997</v>
      </c>
      <c r="K27" s="31">
        <f t="shared" si="2"/>
        <v>2371361.711869313</v>
      </c>
      <c r="L27" s="31">
        <f t="shared" si="2"/>
        <v>11221622.386524428</v>
      </c>
      <c r="M27" s="29"/>
      <c r="N27" s="29"/>
      <c r="O27" s="29"/>
    </row>
    <row r="28" spans="7:15" ht="11.25">
      <c r="G28" s="29"/>
      <c r="H28" s="29"/>
      <c r="I28" s="29"/>
      <c r="J28" s="29"/>
      <c r="K28" s="29"/>
      <c r="L28" s="29"/>
      <c r="M28" s="29"/>
      <c r="N28" s="29"/>
      <c r="O28" s="29"/>
    </row>
    <row r="29" spans="2:15" ht="12" thickBot="1">
      <c r="B29" s="85" t="s">
        <v>182</v>
      </c>
      <c r="G29" s="102">
        <f aca="true" t="shared" si="3" ref="G29:L29">G20-G27</f>
        <v>1138949.5133395414</v>
      </c>
      <c r="H29" s="102">
        <f t="shared" si="3"/>
        <v>1107117.2636181288</v>
      </c>
      <c r="I29" s="102">
        <f t="shared" si="3"/>
        <v>1043598.6463359152</v>
      </c>
      <c r="J29" s="102">
        <f t="shared" si="3"/>
        <v>980080.0290537011</v>
      </c>
      <c r="K29" s="102">
        <f t="shared" si="3"/>
        <v>916561.4117714879</v>
      </c>
      <c r="L29" s="102">
        <f t="shared" si="3"/>
        <v>5186306.8641187735</v>
      </c>
      <c r="M29" s="29"/>
      <c r="N29" s="29"/>
      <c r="O29" s="29"/>
    </row>
    <row r="30" spans="7:15" ht="11.25">
      <c r="G30" s="29"/>
      <c r="H30" s="29"/>
      <c r="I30" s="29"/>
      <c r="J30" s="29"/>
      <c r="K30" s="29"/>
      <c r="L30" s="29"/>
      <c r="M30" s="29"/>
      <c r="N30" s="29"/>
      <c r="O30" s="29"/>
    </row>
    <row r="31" spans="2:15" ht="11.25">
      <c r="B31" s="34" t="s">
        <v>395</v>
      </c>
      <c r="G31" s="29">
        <f>Operations!F$31</f>
        <v>468970</v>
      </c>
      <c r="H31" s="29">
        <f>Operations!G$31</f>
        <v>483039.1</v>
      </c>
      <c r="I31" s="29">
        <f>Operations!H$31</f>
        <v>497108.2</v>
      </c>
      <c r="J31" s="29">
        <f>Operations!I$31</f>
        <v>511177.3</v>
      </c>
      <c r="K31" s="29">
        <f>Operations!J$31</f>
        <v>525246.4000000001</v>
      </c>
      <c r="L31" s="29">
        <f>SUM(G31:K31)</f>
        <v>2485541</v>
      </c>
      <c r="M31" s="29"/>
      <c r="N31" s="29"/>
      <c r="O31" s="29"/>
    </row>
    <row r="32" spans="7:15" ht="11.25">
      <c r="G32" s="29"/>
      <c r="H32" s="29"/>
      <c r="I32" s="29"/>
      <c r="J32" s="29"/>
      <c r="K32" s="29"/>
      <c r="L32" s="29"/>
      <c r="M32" s="29"/>
      <c r="N32" s="29"/>
      <c r="O32" s="29"/>
    </row>
    <row r="33" spans="2:15" ht="12" thickBot="1">
      <c r="B33" s="85" t="s">
        <v>398</v>
      </c>
      <c r="G33" s="32">
        <f aca="true" t="shared" si="4" ref="G33:L33">G29-G31</f>
        <v>669979.5133395414</v>
      </c>
      <c r="H33" s="32">
        <f t="shared" si="4"/>
        <v>624078.1636181289</v>
      </c>
      <c r="I33" s="32">
        <f t="shared" si="4"/>
        <v>546490.4463359152</v>
      </c>
      <c r="J33" s="32">
        <f t="shared" si="4"/>
        <v>468902.7290537011</v>
      </c>
      <c r="K33" s="32">
        <f t="shared" si="4"/>
        <v>391315.01177148777</v>
      </c>
      <c r="L33" s="32">
        <f t="shared" si="4"/>
        <v>2700765.8641187735</v>
      </c>
      <c r="M33" s="29"/>
      <c r="N33" s="29"/>
      <c r="O33" s="29"/>
    </row>
    <row r="34" spans="2:15" ht="11.25">
      <c r="B34" s="89" t="s">
        <v>183</v>
      </c>
      <c r="G34" s="29"/>
      <c r="H34" s="29"/>
      <c r="I34" s="29"/>
      <c r="J34" s="29"/>
      <c r="K34" s="29"/>
      <c r="L34" s="29"/>
      <c r="M34" s="29"/>
      <c r="N34" s="29"/>
      <c r="O34" s="29"/>
    </row>
    <row r="35" spans="2:15" ht="11.25">
      <c r="B35" s="89"/>
      <c r="G35" s="29"/>
      <c r="H35" s="29"/>
      <c r="I35" s="29"/>
      <c r="J35" s="29"/>
      <c r="K35" s="29"/>
      <c r="L35" s="29"/>
      <c r="M35" s="29"/>
      <c r="N35" s="29"/>
      <c r="O35" s="29"/>
    </row>
    <row r="36" spans="2:15" ht="11.25">
      <c r="B36" s="34" t="s">
        <v>112</v>
      </c>
      <c r="G36" s="90">
        <v>0</v>
      </c>
      <c r="H36" s="90">
        <v>0</v>
      </c>
      <c r="I36" s="90">
        <v>0</v>
      </c>
      <c r="J36" s="90">
        <v>0</v>
      </c>
      <c r="K36" s="90">
        <v>0</v>
      </c>
      <c r="L36" s="29">
        <f>SUM(G36:K36)</f>
        <v>0</v>
      </c>
      <c r="M36" s="29"/>
      <c r="N36" s="29"/>
      <c r="O36" s="29"/>
    </row>
    <row r="37" spans="2:15" ht="11.25">
      <c r="B37" s="34" t="s">
        <v>80</v>
      </c>
      <c r="G37" s="29">
        <f>Operations!$F$33</f>
        <v>67944.44444444444</v>
      </c>
      <c r="H37" s="29">
        <f>Operations!$G$33</f>
        <v>67944.44444444444</v>
      </c>
      <c r="I37" s="29">
        <f>Operations!$H$33</f>
        <v>67944.44444444444</v>
      </c>
      <c r="J37" s="29">
        <f>Operations!$I$33</f>
        <v>67944.44444444444</v>
      </c>
      <c r="K37" s="29">
        <f>Operations!$J$33</f>
        <v>67944.44444444444</v>
      </c>
      <c r="L37" s="29">
        <f>SUM(G37:K37)</f>
        <v>339722.2222222222</v>
      </c>
      <c r="M37" s="29"/>
      <c r="N37" s="29"/>
      <c r="O37" s="29"/>
    </row>
    <row r="38" spans="7:15" ht="11.25">
      <c r="G38" s="29"/>
      <c r="H38" s="29"/>
      <c r="I38" s="29"/>
      <c r="J38" s="29"/>
      <c r="K38" s="29"/>
      <c r="L38" s="29"/>
      <c r="M38" s="29"/>
      <c r="N38" s="29"/>
      <c r="O38" s="29"/>
    </row>
    <row r="39" spans="2:15" ht="12" thickBot="1">
      <c r="B39" s="85" t="s">
        <v>397</v>
      </c>
      <c r="G39" s="33">
        <f aca="true" t="shared" si="5" ref="G39:L39">G33+G36-G37</f>
        <v>602035.0688950969</v>
      </c>
      <c r="H39" s="33">
        <f t="shared" si="5"/>
        <v>556133.7191736845</v>
      </c>
      <c r="I39" s="33">
        <f t="shared" si="5"/>
        <v>478546.0018914708</v>
      </c>
      <c r="J39" s="33">
        <f t="shared" si="5"/>
        <v>400958.28460925666</v>
      </c>
      <c r="K39" s="33">
        <f t="shared" si="5"/>
        <v>323370.56732704333</v>
      </c>
      <c r="L39" s="33">
        <f t="shared" si="5"/>
        <v>2361043.6418965515</v>
      </c>
      <c r="M39" s="30"/>
      <c r="N39" s="30"/>
      <c r="O39" s="30"/>
    </row>
    <row r="40" spans="7:15" ht="12" thickTop="1">
      <c r="G40" s="29"/>
      <c r="H40" s="29"/>
      <c r="I40" s="29"/>
      <c r="J40" s="29"/>
      <c r="K40" s="29"/>
      <c r="L40" s="29"/>
      <c r="N40" s="29"/>
      <c r="O40" s="29"/>
    </row>
    <row r="41" spans="12:15" ht="11.25">
      <c r="L41" s="35" t="s">
        <v>184</v>
      </c>
      <c r="M41" s="86"/>
      <c r="N41" s="86"/>
      <c r="O41" s="86"/>
    </row>
    <row r="42" spans="2:15" ht="11.25">
      <c r="B42" s="85" t="s">
        <v>132</v>
      </c>
      <c r="G42" s="36">
        <f>G33/G20</f>
        <v>0.20575270274453017</v>
      </c>
      <c r="H42" s="36">
        <f>H33/H20</f>
        <v>0.18980923219611998</v>
      </c>
      <c r="I42" s="36">
        <f>I33/I20</f>
        <v>0.16621144284260894</v>
      </c>
      <c r="J42" s="36">
        <f>J33/J20</f>
        <v>0.14261365348909777</v>
      </c>
      <c r="K42" s="36">
        <f>K33/K20</f>
        <v>0.11901586413558682</v>
      </c>
      <c r="L42" s="36">
        <f>AVERAGE(F42:K42)</f>
        <v>0.16468057908158873</v>
      </c>
      <c r="M42" s="36"/>
      <c r="N42" s="36"/>
      <c r="O42" s="36"/>
    </row>
    <row r="43" spans="2:15" ht="11.25">
      <c r="B43" s="85"/>
      <c r="G43" s="36"/>
      <c r="H43" s="36"/>
      <c r="I43" s="36"/>
      <c r="J43" s="36"/>
      <c r="K43" s="36"/>
      <c r="L43" s="36"/>
      <c r="M43" s="36"/>
      <c r="N43" s="36"/>
      <c r="O43" s="36"/>
    </row>
    <row r="44" spans="1:15" ht="11.25">
      <c r="A44" s="91" t="s">
        <v>178</v>
      </c>
      <c r="B44" s="85"/>
      <c r="G44" s="36"/>
      <c r="H44" s="36"/>
      <c r="I44" s="36"/>
      <c r="J44" s="36"/>
      <c r="K44" s="36"/>
      <c r="L44" s="37"/>
      <c r="M44" s="37"/>
      <c r="N44" s="37"/>
      <c r="O44" s="37"/>
    </row>
    <row r="45" spans="2:15" ht="11.25">
      <c r="B45" s="34" t="s">
        <v>17</v>
      </c>
      <c r="G45" s="38">
        <f aca="true" t="shared" si="6" ref="G45:L45">(G27+G31)/(G7+G8)</f>
        <v>787.2929201645231</v>
      </c>
      <c r="H45" s="38">
        <f t="shared" si="6"/>
        <v>810.9117077694588</v>
      </c>
      <c r="I45" s="38">
        <f t="shared" si="6"/>
        <v>834.5304953743945</v>
      </c>
      <c r="J45" s="38">
        <f t="shared" si="6"/>
        <v>858.1492829793301</v>
      </c>
      <c r="K45" s="38">
        <f t="shared" si="6"/>
        <v>881.7680705842657</v>
      </c>
      <c r="L45" s="38">
        <f t="shared" si="6"/>
        <v>834.5304953743944</v>
      </c>
      <c r="M45" s="38"/>
      <c r="N45" s="38"/>
      <c r="O45" s="38"/>
    </row>
    <row r="46" spans="2:15" ht="11.25">
      <c r="B46" s="34" t="s">
        <v>18</v>
      </c>
      <c r="G46" s="38">
        <f aca="true" t="shared" si="7" ref="G46:L46">G47/G10</f>
        <v>6.9412500573702305</v>
      </c>
      <c r="H46" s="38">
        <f t="shared" si="7"/>
        <v>7.096508725673462</v>
      </c>
      <c r="I46" s="38">
        <f t="shared" si="7"/>
        <v>7.327591563296365</v>
      </c>
      <c r="J46" s="38">
        <f t="shared" si="7"/>
        <v>7.5602229339947336</v>
      </c>
      <c r="K46" s="38">
        <f t="shared" si="7"/>
        <v>7.794418455650316</v>
      </c>
      <c r="L46" s="38">
        <f t="shared" si="7"/>
        <v>7.343415619855353</v>
      </c>
      <c r="M46" s="39"/>
      <c r="N46" s="39"/>
      <c r="O46" s="39"/>
    </row>
    <row r="47" spans="2:15" ht="11.25">
      <c r="B47" s="34" t="s">
        <v>19</v>
      </c>
      <c r="G47" s="40">
        <f aca="true" t="shared" si="8" ref="G47:L47">G48/(G51-G50)</f>
        <v>2533.5562709401343</v>
      </c>
      <c r="H47" s="40">
        <f t="shared" si="8"/>
        <v>2590.2256848708134</v>
      </c>
      <c r="I47" s="40">
        <f t="shared" si="8"/>
        <v>2674.5709206031734</v>
      </c>
      <c r="J47" s="40">
        <f t="shared" si="8"/>
        <v>2759.4813709080777</v>
      </c>
      <c r="K47" s="40">
        <f t="shared" si="8"/>
        <v>2844.9627363123655</v>
      </c>
      <c r="L47" s="40">
        <f t="shared" si="8"/>
        <v>13401.73350623602</v>
      </c>
      <c r="M47" s="40"/>
      <c r="N47" s="40"/>
      <c r="O47" s="40"/>
    </row>
    <row r="48" spans="3:15" ht="11.25">
      <c r="C48" s="34" t="s">
        <v>20</v>
      </c>
      <c r="G48" s="40">
        <f>(G23+SUM(Operations!F14:Operations!F17)+SUM(Operations!F21:Operations!F29))</f>
        <v>2258892.7577404585</v>
      </c>
      <c r="H48" s="40">
        <f>(H23+SUM(Operations!G14:Operations!G17)+SUM(Operations!G21:Operations!G29))</f>
        <v>2326659.540472672</v>
      </c>
      <c r="I48" s="40">
        <f>(I23+SUM(Operations!H14:Operations!H17)+SUM(Operations!H21:Operations!H29))</f>
        <v>2394426.3232048857</v>
      </c>
      <c r="J48" s="40">
        <f>(J23+SUM(Operations!I14:Operations!I17)+SUM(Operations!I21:Operations!I29))</f>
        <v>2462193.1059370995</v>
      </c>
      <c r="K48" s="40">
        <f>(K23+SUM(Operations!J14:Operations!J17)+SUM(Operations!J21:Operations!J29))</f>
        <v>2529959.888669313</v>
      </c>
      <c r="L48" s="40">
        <f>SUM(G48:K48)</f>
        <v>11972131.616024427</v>
      </c>
      <c r="M48" s="40"/>
      <c r="N48" s="40"/>
      <c r="O48" s="40"/>
    </row>
    <row r="49" spans="3:15" ht="11.25">
      <c r="C49" s="34" t="s">
        <v>21</v>
      </c>
      <c r="G49" s="29">
        <f>(Operations!F18+Operations!F19+Operations!F20+G24+G25+G26)</f>
        <v>327364.48500000004</v>
      </c>
      <c r="H49" s="29">
        <f>(Operations!G18+Operations!G19+Operations!G20+H24+H25+H26)</f>
        <v>337185.41955000005</v>
      </c>
      <c r="I49" s="29">
        <f>(Operations!H18+Operations!H19+Operations!H20+I24+I25+I26)</f>
        <v>347006.35410000006</v>
      </c>
      <c r="J49" s="29">
        <f>(Operations!I18+Operations!I19+Operations!I20+J24+J25+J26)</f>
        <v>356827.28864999994</v>
      </c>
      <c r="K49" s="29">
        <f>(Operations!J18+Operations!J19+Operations!J20+K24+K25+K26)</f>
        <v>366648.2232000001</v>
      </c>
      <c r="L49" s="29">
        <f>(Operations!K15+Operations!K16+Operations!K18+Operations!K19+Operations!K20+L24+L25)</f>
        <v>2036462.5395000002</v>
      </c>
      <c r="M49" s="29"/>
      <c r="N49" s="29"/>
      <c r="O49" s="29"/>
    </row>
    <row r="50" spans="3:15" ht="11.25">
      <c r="C50" s="34" t="s">
        <v>22</v>
      </c>
      <c r="G50" s="38">
        <f>G49/(G7+G8)</f>
        <v>99.65433333333334</v>
      </c>
      <c r="H50" s="38">
        <f>H49/(H7+H8)</f>
        <v>102.64396333333335</v>
      </c>
      <c r="I50" s="38">
        <f>I49/(I7+I8)</f>
        <v>105.63359333333335</v>
      </c>
      <c r="J50" s="38">
        <f>J49/(J7+J8)</f>
        <v>108.62322333333331</v>
      </c>
      <c r="K50" s="38">
        <f>K49/(K7+K8)</f>
        <v>111.61285333333338</v>
      </c>
      <c r="L50" s="38">
        <f>AVERAGE(G50:K50)</f>
        <v>105.63359333333335</v>
      </c>
      <c r="M50" s="38"/>
      <c r="N50" s="38"/>
      <c r="O50" s="38"/>
    </row>
    <row r="51" spans="3:15" ht="11.25">
      <c r="C51" s="34" t="s">
        <v>23</v>
      </c>
      <c r="G51" s="38">
        <f>G20/(G7+G8)</f>
        <v>991.2440657777777</v>
      </c>
      <c r="H51" s="38">
        <f>H20/(H7+H8)</f>
        <v>1000.8898397688891</v>
      </c>
      <c r="I51" s="38">
        <f>I20/(I7+I8)</f>
        <v>1000.8898397688891</v>
      </c>
      <c r="J51" s="38">
        <f>J20/(J7+J8)</f>
        <v>1000.8898397688891</v>
      </c>
      <c r="K51" s="38">
        <f>K20/(K7+K8)</f>
        <v>1000.8898397688891</v>
      </c>
      <c r="L51" s="38">
        <f>AVERAGE(G51:K51)</f>
        <v>998.9606849706668</v>
      </c>
      <c r="M51" s="38"/>
      <c r="N51" s="38"/>
      <c r="O51" s="38"/>
    </row>
    <row r="52" spans="7:15" ht="11.25">
      <c r="G52" s="38"/>
      <c r="H52" s="38"/>
      <c r="I52" s="38"/>
      <c r="J52" s="38"/>
      <c r="K52" s="38"/>
      <c r="N52" s="92"/>
      <c r="O52" s="93"/>
    </row>
    <row r="53" spans="1:14" ht="11.25">
      <c r="A53" s="91" t="s">
        <v>179</v>
      </c>
      <c r="G53" s="38"/>
      <c r="H53" s="38"/>
      <c r="I53" s="38"/>
      <c r="J53" s="38"/>
      <c r="K53" s="38"/>
      <c r="N53" s="93"/>
    </row>
    <row r="54" spans="2:12" ht="11.25">
      <c r="B54" s="34" t="s">
        <v>18</v>
      </c>
      <c r="G54" s="38">
        <f aca="true" t="shared" si="9" ref="G54:L54">G55/G10</f>
        <v>7.150033487784052</v>
      </c>
      <c r="H54" s="38">
        <f t="shared" si="9"/>
        <v>7.303745037851341</v>
      </c>
      <c r="I54" s="38">
        <f t="shared" si="9"/>
        <v>7.535519923028722</v>
      </c>
      <c r="J54" s="38">
        <f t="shared" si="9"/>
        <v>7.768847978832928</v>
      </c>
      <c r="K54" s="38">
        <f t="shared" si="9"/>
        <v>8.003744869918185</v>
      </c>
      <c r="L54" s="38">
        <f t="shared" si="9"/>
        <v>7.552378259483045</v>
      </c>
    </row>
    <row r="55" spans="2:12" ht="11.25">
      <c r="B55" s="34" t="s">
        <v>19</v>
      </c>
      <c r="G55" s="40">
        <f>G56/(G51-G50)</f>
        <v>2609.762223041179</v>
      </c>
      <c r="H55" s="40">
        <f>H56/(H51-H50)</f>
        <v>2665.8669388157396</v>
      </c>
      <c r="I55" s="40">
        <f>I56/(I51-I50)</f>
        <v>2750.4647719054833</v>
      </c>
      <c r="J55" s="40">
        <f>J56/(J51-J50)</f>
        <v>2835.6295122740185</v>
      </c>
      <c r="K55" s="40">
        <f>K56/(K51-K50)</f>
        <v>2921.3668775201377</v>
      </c>
      <c r="L55" s="29">
        <f>SUM(G55:K55)</f>
        <v>13783.090323556557</v>
      </c>
    </row>
    <row r="56" spans="3:12" ht="9.75">
      <c r="C56" s="34" t="s">
        <v>20</v>
      </c>
      <c r="G56" s="40">
        <f>(G23+SUM(Operations!F14:Operations!F17)+SUM(Operations!F21:Operations!F29))+G37</f>
        <v>2326837.202184903</v>
      </c>
      <c r="H56" s="40">
        <f>(H23+SUM(Operations!G14:Operations!G17)+SUM(Operations!G21:Operations!G29))+H37</f>
        <v>2394603.9849171164</v>
      </c>
      <c r="I56" s="40">
        <f>(I23+SUM(Operations!H14:Operations!H17)+SUM(Operations!H21:Operations!H29))+I37</f>
        <v>2462370.76764933</v>
      </c>
      <c r="J56" s="40">
        <f>(J23+SUM(Operations!I14:Operations!I17)+SUM(Operations!I21:Operations!I29))+J37</f>
        <v>2530137.550381544</v>
      </c>
      <c r="K56" s="40">
        <f>(K23+SUM(Operations!J14:Operations!J17)+SUM(Operations!J21:Operations!J29))+K37</f>
        <v>2597904.3331137574</v>
      </c>
      <c r="L56" s="29">
        <f>SUM(G56:K56)</f>
        <v>12311853.838246653</v>
      </c>
    </row>
    <row r="57" spans="7:11" ht="9.75">
      <c r="G57" s="38"/>
      <c r="H57" s="38"/>
      <c r="I57" s="38"/>
      <c r="J57" s="38"/>
      <c r="K57" s="38"/>
    </row>
    <row r="58" spans="7:11" ht="9.75">
      <c r="G58" s="94" t="str">
        <f>Reserved</f>
        <v>This product was created by Multi-View Incorporated.  It is reserved for the exclusive use of MVI clients. Need help?  828-698-5885</v>
      </c>
      <c r="H58" s="38"/>
      <c r="I58" s="38"/>
      <c r="J58" s="38"/>
      <c r="K58" s="38"/>
    </row>
  </sheetData>
  <sheetProtection password="DFAD" sheet="1"/>
  <printOptions/>
  <pageMargins left="0.5" right="0.5" top="0.5" bottom="0.75" header="0.5" footer="0.5"/>
  <pageSetup horizontalDpi="300" verticalDpi="300" orientation="landscape" scale="81" r:id="rId4"/>
  <headerFooter alignWithMargins="0">
    <oddFooter>&amp;L&amp;F  &amp;A</oddFooter>
  </headerFooter>
  <drawing r:id="rId3"/>
  <legacyDrawing r:id="rId2"/>
</worksheet>
</file>

<file path=xl/worksheets/sheet5.xml><?xml version="1.0" encoding="utf-8"?>
<worksheet xmlns="http://schemas.openxmlformats.org/spreadsheetml/2006/main" xmlns:r="http://schemas.openxmlformats.org/officeDocument/2006/relationships">
  <sheetPr>
    <tabColor rgb="FFFF0000"/>
  </sheetPr>
  <dimension ref="A1:O83"/>
  <sheetViews>
    <sheetView showGridLines="0" zoomScalePageLayoutView="0" workbookViewId="0" topLeftCell="A1">
      <pane xSplit="6" ySplit="2" topLeftCell="G3" activePane="bottomRight" state="frozen"/>
      <selection pane="topLeft" activeCell="A1" sqref="A1"/>
      <selection pane="topRight" activeCell="G1" sqref="G1"/>
      <selection pane="bottomLeft" activeCell="A3" sqref="A3"/>
      <selection pane="bottomRight" activeCell="F35" sqref="F35"/>
    </sheetView>
  </sheetViews>
  <sheetFormatPr defaultColWidth="9.140625" defaultRowHeight="12.75"/>
  <cols>
    <col min="1" max="1" width="1.28515625" style="177" customWidth="1"/>
    <col min="2" max="2" width="3.7109375" style="177" customWidth="1"/>
    <col min="3" max="3" width="3.28125" style="177" customWidth="1"/>
    <col min="4" max="4" width="2.7109375" style="177" customWidth="1"/>
    <col min="5" max="5" width="6.8515625" style="177" customWidth="1"/>
    <col min="6" max="6" width="19.57421875" style="177" customWidth="1"/>
    <col min="7" max="7" width="12.7109375" style="177" customWidth="1"/>
    <col min="8" max="9" width="11.57421875" style="177" customWidth="1"/>
    <col min="10" max="10" width="12.28125" style="177" customWidth="1"/>
    <col min="11" max="12" width="13.28125" style="177" customWidth="1"/>
    <col min="13" max="13" width="10.57421875" style="177" customWidth="1"/>
    <col min="14" max="14" width="8.00390625" style="177" customWidth="1"/>
    <col min="15" max="15" width="8.140625" style="177" customWidth="1"/>
    <col min="16" max="16384" width="9.140625" style="177" customWidth="1"/>
  </cols>
  <sheetData>
    <row r="1" spans="1:15" ht="12">
      <c r="A1" s="176" t="s">
        <v>333</v>
      </c>
      <c r="H1" s="177">
        <f>Version</f>
        <v>20</v>
      </c>
      <c r="M1" s="178" t="s">
        <v>160</v>
      </c>
      <c r="N1" s="179" t="str">
        <f>Name</f>
        <v>Sunny Day Hospice</v>
      </c>
      <c r="O1" s="180"/>
    </row>
    <row r="2" spans="7:15" s="181" customFormat="1" ht="12">
      <c r="G2" s="197" t="str">
        <f>'Pro Forma IS'!G2</f>
        <v>Year 1</v>
      </c>
      <c r="H2" s="197" t="str">
        <f>'Pro Forma IS'!H2</f>
        <v>Year 2</v>
      </c>
      <c r="I2" s="197" t="str">
        <f>'Pro Forma IS'!I2</f>
        <v>Year 3</v>
      </c>
      <c r="J2" s="197" t="str">
        <f>'Pro Forma IS'!J2</f>
        <v>Year 4</v>
      </c>
      <c r="K2" s="197" t="str">
        <f>'Pro Forma IS'!K2</f>
        <v>Year 5</v>
      </c>
      <c r="L2" s="182" t="s">
        <v>310</v>
      </c>
      <c r="M2" s="178" t="s">
        <v>161</v>
      </c>
      <c r="N2" s="179" t="str">
        <f>CON.Number</f>
        <v>XX-XXX</v>
      </c>
      <c r="O2" s="180"/>
    </row>
    <row r="3" spans="1:15" ht="10.5">
      <c r="A3" s="176" t="s">
        <v>1</v>
      </c>
      <c r="M3" s="178" t="s">
        <v>162</v>
      </c>
      <c r="N3" s="11" t="s">
        <v>167</v>
      </c>
      <c r="O3" s="183" t="str">
        <f>state</f>
        <v>GA</v>
      </c>
    </row>
    <row r="4" spans="2:15" ht="9.75">
      <c r="B4" s="177" t="s">
        <v>2</v>
      </c>
      <c r="G4" s="184">
        <f>'Pro Forma IS'!G4</f>
        <v>8</v>
      </c>
      <c r="H4" s="184">
        <f>'Pro Forma IS'!H4</f>
        <v>8</v>
      </c>
      <c r="I4" s="184">
        <f>'Pro Forma IS'!I4</f>
        <v>8</v>
      </c>
      <c r="J4" s="184">
        <f>'Pro Forma IS'!J4</f>
        <v>8</v>
      </c>
      <c r="K4" s="184">
        <f>'Pro Forma IS'!K4</f>
        <v>8</v>
      </c>
      <c r="L4" s="185"/>
      <c r="M4" s="178" t="s">
        <v>163</v>
      </c>
      <c r="N4" s="12">
        <v>1</v>
      </c>
      <c r="O4" s="186" t="str">
        <f>Submission.Date</f>
        <v>3/30/17</v>
      </c>
    </row>
    <row r="5" spans="2:12" ht="9.75">
      <c r="B5" s="177" t="s">
        <v>3</v>
      </c>
      <c r="G5" s="184">
        <f>'Pro Forma IS'!G5</f>
        <v>1</v>
      </c>
      <c r="H5" s="184">
        <f>'Pro Forma IS'!H5</f>
        <v>1</v>
      </c>
      <c r="I5" s="184">
        <f>'Pro Forma IS'!I5</f>
        <v>1</v>
      </c>
      <c r="J5" s="184">
        <f>'Pro Forma IS'!J5</f>
        <v>1</v>
      </c>
      <c r="K5" s="184">
        <f>'Pro Forma IS'!K5</f>
        <v>1</v>
      </c>
      <c r="L5" s="185"/>
    </row>
    <row r="6" spans="2:12" ht="9.75">
      <c r="B6" s="177" t="s">
        <v>319</v>
      </c>
      <c r="G6" s="184">
        <f>'Pro Forma IS'!G6</f>
        <v>2</v>
      </c>
      <c r="H6" s="184">
        <f>'Pro Forma IS'!H6</f>
        <v>2</v>
      </c>
      <c r="I6" s="184">
        <f>'Pro Forma IS'!I6</f>
        <v>2</v>
      </c>
      <c r="J6" s="184">
        <f>'Pro Forma IS'!J6</f>
        <v>2</v>
      </c>
      <c r="K6" s="184">
        <f>'Pro Forma IS'!K6</f>
        <v>2</v>
      </c>
      <c r="L6" s="185"/>
    </row>
    <row r="7" spans="2:12" ht="9.75">
      <c r="B7" s="177" t="s">
        <v>4</v>
      </c>
      <c r="G7" s="187">
        <f>'Pro Forma IS'!G7</f>
        <v>2920</v>
      </c>
      <c r="H7" s="187">
        <f>'Pro Forma IS'!H7</f>
        <v>2920</v>
      </c>
      <c r="I7" s="187">
        <f>'Pro Forma IS'!I7</f>
        <v>2920</v>
      </c>
      <c r="J7" s="187">
        <f>'Pro Forma IS'!J7</f>
        <v>2920</v>
      </c>
      <c r="K7" s="187">
        <f>'Pro Forma IS'!K7</f>
        <v>2920</v>
      </c>
      <c r="L7" s="188">
        <f>SUM(G7:K7)</f>
        <v>14600</v>
      </c>
    </row>
    <row r="8" spans="2:12" ht="9.75">
      <c r="B8" s="177" t="s">
        <v>5</v>
      </c>
      <c r="G8" s="187">
        <f>'Pro Forma IS'!G8</f>
        <v>365</v>
      </c>
      <c r="H8" s="187">
        <f>'Pro Forma IS'!H8</f>
        <v>365</v>
      </c>
      <c r="I8" s="187">
        <f>'Pro Forma IS'!I8</f>
        <v>365</v>
      </c>
      <c r="J8" s="187">
        <f>'Pro Forma IS'!J8</f>
        <v>365</v>
      </c>
      <c r="K8" s="187">
        <f>'Pro Forma IS'!K8</f>
        <v>365</v>
      </c>
      <c r="L8" s="188">
        <f>SUM(G8:K8)</f>
        <v>1825</v>
      </c>
    </row>
    <row r="9" spans="2:12" ht="9.75">
      <c r="B9" s="177" t="s">
        <v>320</v>
      </c>
      <c r="G9" s="187">
        <f>'Pro Forma IS'!G9</f>
        <v>730</v>
      </c>
      <c r="H9" s="187">
        <f>'Pro Forma IS'!H9</f>
        <v>730</v>
      </c>
      <c r="I9" s="187">
        <f>'Pro Forma IS'!I9</f>
        <v>730</v>
      </c>
      <c r="J9" s="187">
        <f>'Pro Forma IS'!J9</f>
        <v>730</v>
      </c>
      <c r="K9" s="187">
        <f>'Pro Forma IS'!K9</f>
        <v>730</v>
      </c>
      <c r="L9" s="188">
        <f>SUM(G9:K9)</f>
        <v>3650</v>
      </c>
    </row>
    <row r="10" spans="2:12" ht="9.75">
      <c r="B10" s="177" t="s">
        <v>209</v>
      </c>
      <c r="G10" s="187">
        <f>'Pro Forma IS'!G10</f>
        <v>365</v>
      </c>
      <c r="H10" s="187">
        <f>'Pro Forma IS'!H10</f>
        <v>365</v>
      </c>
      <c r="I10" s="187">
        <f>'Pro Forma IS'!I10</f>
        <v>365</v>
      </c>
      <c r="J10" s="187">
        <f>'Pro Forma IS'!J10</f>
        <v>365</v>
      </c>
      <c r="K10" s="187">
        <f>'Pro Forma IS'!K10</f>
        <v>365</v>
      </c>
      <c r="L10" s="188">
        <f>SUM(G10:K10)</f>
        <v>1825</v>
      </c>
    </row>
    <row r="12" ht="10.5">
      <c r="A12" s="176" t="s">
        <v>6</v>
      </c>
    </row>
    <row r="13" spans="2:15" ht="9.75">
      <c r="B13" s="177" t="s">
        <v>7</v>
      </c>
      <c r="G13" s="218">
        <f>'Pro Forma IS'!G13/'Pro Forma IS'!G$20</f>
        <v>0.8844847570196893</v>
      </c>
      <c r="H13" s="218">
        <f>'Pro Forma IS'!H13/'Pro Forma IS'!H$20</f>
        <v>0.8847204099282313</v>
      </c>
      <c r="I13" s="218">
        <f>'Pro Forma IS'!I13/'Pro Forma IS'!I$20</f>
        <v>0.8847204099282313</v>
      </c>
      <c r="J13" s="218">
        <f>'Pro Forma IS'!J13/'Pro Forma IS'!J$20</f>
        <v>0.8847204099282313</v>
      </c>
      <c r="K13" s="218">
        <f>'Pro Forma IS'!K13/'Pro Forma IS'!K$20</f>
        <v>0.8847204099282313</v>
      </c>
      <c r="L13" s="218">
        <f>AVERAGE(G13:K13)</f>
        <v>0.8846732793465231</v>
      </c>
      <c r="M13" s="188"/>
      <c r="N13" s="188"/>
      <c r="O13" s="188"/>
    </row>
    <row r="14" spans="2:15" ht="9.75">
      <c r="B14" s="177" t="s">
        <v>8</v>
      </c>
      <c r="G14" s="218">
        <f>'Pro Forma IS'!G14/'Pro Forma IS'!G$20</f>
        <v>0.01957360744147135</v>
      </c>
      <c r="H14" s="218">
        <f>'Pro Forma IS'!H14/'Pro Forma IS'!H$20</f>
        <v>0.019578822429618552</v>
      </c>
      <c r="I14" s="218">
        <f>'Pro Forma IS'!I14/'Pro Forma IS'!I$20</f>
        <v>0.019578822429618552</v>
      </c>
      <c r="J14" s="218">
        <f>'Pro Forma IS'!J14/'Pro Forma IS'!J$20</f>
        <v>0.019578822429618552</v>
      </c>
      <c r="K14" s="218">
        <f>'Pro Forma IS'!K14/'Pro Forma IS'!K$20</f>
        <v>0.019578822429618552</v>
      </c>
      <c r="L14" s="218">
        <f aca="true" t="shared" si="0" ref="L14:L20">AVERAGE(G14:K14)</f>
        <v>0.01957777943198911</v>
      </c>
      <c r="M14" s="188"/>
      <c r="N14" s="188"/>
      <c r="O14" s="188"/>
    </row>
    <row r="15" spans="2:15" ht="9.75">
      <c r="B15" s="177" t="s">
        <v>285</v>
      </c>
      <c r="G15" s="218">
        <f>'Pro Forma IS'!G15/'Pro Forma IS'!G$20</f>
        <v>0.09680064676238669</v>
      </c>
      <c r="H15" s="218">
        <f>'Pro Forma IS'!H15/'Pro Forma IS'!H$20</f>
        <v>0.09682643731872728</v>
      </c>
      <c r="I15" s="218">
        <f>'Pro Forma IS'!I15/'Pro Forma IS'!I$20</f>
        <v>0.09682643731872728</v>
      </c>
      <c r="J15" s="218">
        <f>'Pro Forma IS'!J15/'Pro Forma IS'!J$20</f>
        <v>0.09682643731872728</v>
      </c>
      <c r="K15" s="218">
        <f>'Pro Forma IS'!K15/'Pro Forma IS'!K$20</f>
        <v>0.09682643731872728</v>
      </c>
      <c r="L15" s="218">
        <f t="shared" si="0"/>
        <v>0.09682127920745917</v>
      </c>
      <c r="M15" s="188"/>
      <c r="N15" s="188"/>
      <c r="O15" s="188"/>
    </row>
    <row r="16" spans="2:15" ht="9.75">
      <c r="B16" s="177" t="s">
        <v>9</v>
      </c>
      <c r="G16" s="218">
        <f>'Pro Forma IS'!G16/'Pro Forma IS'!G$20</f>
        <v>-0.01768969514039379</v>
      </c>
      <c r="H16" s="218">
        <f>'Pro Forma IS'!H16/'Pro Forma IS'!H$20</f>
        <v>-0.017694408198564625</v>
      </c>
      <c r="I16" s="218">
        <f>'Pro Forma IS'!I16/'Pro Forma IS'!I$20</f>
        <v>-0.017694408198564625</v>
      </c>
      <c r="J16" s="218">
        <f>'Pro Forma IS'!J16/'Pro Forma IS'!J$20</f>
        <v>-0.017694408198564625</v>
      </c>
      <c r="K16" s="218">
        <f>'Pro Forma IS'!K16/'Pro Forma IS'!K$20</f>
        <v>-0.017694408198564625</v>
      </c>
      <c r="L16" s="218">
        <f t="shared" si="0"/>
        <v>-0.017693465586930458</v>
      </c>
      <c r="M16" s="188"/>
      <c r="N16" s="188"/>
      <c r="O16" s="188"/>
    </row>
    <row r="17" spans="2:15" ht="9.75">
      <c r="B17" s="177" t="s">
        <v>10</v>
      </c>
      <c r="G17" s="218">
        <f>'Pro Forma IS'!G17/'Pro Forma IS'!G$20</f>
        <v>-0.00039147214882942694</v>
      </c>
      <c r="H17" s="218">
        <f>'Pro Forma IS'!H17/'Pro Forma IS'!H$20</f>
        <v>-0.000391576448592371</v>
      </c>
      <c r="I17" s="218">
        <f>'Pro Forma IS'!I17/'Pro Forma IS'!I$20</f>
        <v>-0.000391576448592371</v>
      </c>
      <c r="J17" s="218">
        <f>'Pro Forma IS'!J17/'Pro Forma IS'!J$20</f>
        <v>-0.000391576448592371</v>
      </c>
      <c r="K17" s="218">
        <f>'Pro Forma IS'!K17/'Pro Forma IS'!K$20</f>
        <v>-0.000391576448592371</v>
      </c>
      <c r="L17" s="218">
        <f t="shared" si="0"/>
        <v>-0.0003915555886397822</v>
      </c>
      <c r="M17" s="188"/>
      <c r="N17" s="188"/>
      <c r="O17" s="188"/>
    </row>
    <row r="18" spans="2:15" ht="9.75">
      <c r="B18" s="177" t="s">
        <v>321</v>
      </c>
      <c r="G18" s="218">
        <f>'Pro Forma IS'!G18/'Pro Forma IS'!G$20</f>
        <v>-0.00968006467623867</v>
      </c>
      <c r="H18" s="218">
        <f>'Pro Forma IS'!H18/'Pro Forma IS'!H$20</f>
        <v>-0.009682643731872729</v>
      </c>
      <c r="I18" s="218">
        <f>'Pro Forma IS'!I18/'Pro Forma IS'!I$20</f>
        <v>-0.009682643731872729</v>
      </c>
      <c r="J18" s="218">
        <f>'Pro Forma IS'!J18/'Pro Forma IS'!J$20</f>
        <v>-0.009682643731872729</v>
      </c>
      <c r="K18" s="218">
        <f>'Pro Forma IS'!K18/'Pro Forma IS'!K$20</f>
        <v>-0.009682643731872729</v>
      </c>
      <c r="L18" s="218">
        <f t="shared" si="0"/>
        <v>-0.009682127920745916</v>
      </c>
      <c r="M18" s="188"/>
      <c r="N18" s="188"/>
      <c r="O18" s="188"/>
    </row>
    <row r="19" spans="2:15" ht="9.75">
      <c r="B19" s="177" t="s">
        <v>131</v>
      </c>
      <c r="G19" s="218">
        <f>'Pro Forma IS'!G19/'Pro Forma IS'!G$20</f>
        <v>0.026902220741914576</v>
      </c>
      <c r="H19" s="218">
        <f>'Pro Forma IS'!H19/'Pro Forma IS'!H$20</f>
        <v>0.026642958702452355</v>
      </c>
      <c r="I19" s="218">
        <f>'Pro Forma IS'!I19/'Pro Forma IS'!I$20</f>
        <v>0.026642958702452355</v>
      </c>
      <c r="J19" s="218">
        <f>'Pro Forma IS'!J19/'Pro Forma IS'!J$20</f>
        <v>0.026642958702452355</v>
      </c>
      <c r="K19" s="218">
        <f>'Pro Forma IS'!K19/'Pro Forma IS'!K$20</f>
        <v>0.026642958702452355</v>
      </c>
      <c r="L19" s="218">
        <f t="shared" si="0"/>
        <v>0.026694811110344795</v>
      </c>
      <c r="M19" s="188"/>
      <c r="N19" s="188"/>
      <c r="O19" s="188"/>
    </row>
    <row r="20" spans="3:15" ht="9.75">
      <c r="C20" s="193" t="s">
        <v>11</v>
      </c>
      <c r="G20" s="219">
        <f>'Pro Forma IS'!G20/'Pro Forma IS'!G$20</f>
        <v>1</v>
      </c>
      <c r="H20" s="219">
        <f>'Pro Forma IS'!H20/'Pro Forma IS'!H$20</f>
        <v>1</v>
      </c>
      <c r="I20" s="219">
        <f>'Pro Forma IS'!I20/'Pro Forma IS'!I$20</f>
        <v>1</v>
      </c>
      <c r="J20" s="219">
        <f>'Pro Forma IS'!J20/'Pro Forma IS'!J$20</f>
        <v>1</v>
      </c>
      <c r="K20" s="219">
        <f>'Pro Forma IS'!K20/'Pro Forma IS'!K$20</f>
        <v>1</v>
      </c>
      <c r="L20" s="220">
        <f t="shared" si="0"/>
        <v>1</v>
      </c>
      <c r="M20" s="191"/>
      <c r="N20" s="191"/>
      <c r="O20" s="191"/>
    </row>
    <row r="21" spans="7:15" ht="9.75">
      <c r="G21" s="188"/>
      <c r="H21" s="188"/>
      <c r="I21" s="188"/>
      <c r="J21" s="188"/>
      <c r="K21" s="188"/>
      <c r="L21" s="188"/>
      <c r="M21" s="188"/>
      <c r="N21" s="188"/>
      <c r="O21" s="188"/>
    </row>
    <row r="22" spans="1:15" ht="10.5">
      <c r="A22" s="176" t="s">
        <v>12</v>
      </c>
      <c r="G22" s="188"/>
      <c r="H22" s="188"/>
      <c r="I22" s="188"/>
      <c r="J22" s="188"/>
      <c r="K22" s="188"/>
      <c r="L22" s="188"/>
      <c r="M22" s="188"/>
      <c r="N22" s="188"/>
      <c r="O22" s="188"/>
    </row>
    <row r="23" spans="2:15" ht="9.75">
      <c r="B23" s="177" t="s">
        <v>13</v>
      </c>
      <c r="G23" s="189"/>
      <c r="H23" s="189"/>
      <c r="I23" s="189"/>
      <c r="J23" s="189"/>
      <c r="K23" s="189"/>
      <c r="L23" s="189"/>
      <c r="M23" s="188"/>
      <c r="N23" s="188"/>
      <c r="O23" s="188"/>
    </row>
    <row r="24" spans="3:15" ht="9.75">
      <c r="C24" s="177" t="s">
        <v>48</v>
      </c>
      <c r="G24" s="218">
        <f>Staffing!F$233/('Pro Forma IS'!G$20)</f>
        <v>0.3247463037546534</v>
      </c>
      <c r="H24" s="218">
        <f>Staffing!G$233/('Pro Forma IS'!H$20)</f>
        <v>0.33126515896197817</v>
      </c>
      <c r="I24" s="218">
        <f>Staffing!H$233/('Pro Forma IS'!I$20)</f>
        <v>0.3409136587375698</v>
      </c>
      <c r="J24" s="218">
        <f>Staffing!I$233/('Pro Forma IS'!J$20)</f>
        <v>0.35056215851316136</v>
      </c>
      <c r="K24" s="218">
        <f>Staffing!J$233/('Pro Forma IS'!K$20)</f>
        <v>0.360210658288753</v>
      </c>
      <c r="L24" s="218">
        <f>AVERAGE(G24:K24)</f>
        <v>0.34153958765122316</v>
      </c>
      <c r="M24" s="188"/>
      <c r="N24" s="188"/>
      <c r="O24" s="188"/>
    </row>
    <row r="25" spans="3:15" ht="9.75">
      <c r="C25" s="177" t="s">
        <v>49</v>
      </c>
      <c r="G25" s="218">
        <f>Staffing!F$234/('Pro Forma IS'!G$20)</f>
        <v>0</v>
      </c>
      <c r="H25" s="218">
        <f>Staffing!G$234/('Pro Forma IS'!H$20)</f>
        <v>0</v>
      </c>
      <c r="I25" s="218">
        <f>Staffing!H$234/('Pro Forma IS'!I$20)</f>
        <v>0</v>
      </c>
      <c r="J25" s="218">
        <f>Staffing!I$234/('Pro Forma IS'!J$20)</f>
        <v>0</v>
      </c>
      <c r="K25" s="218">
        <f>Staffing!J$234/('Pro Forma IS'!K$20)</f>
        <v>0</v>
      </c>
      <c r="L25" s="218">
        <f aca="true" t="shared" si="1" ref="L25:L32">AVERAGE(G25:K25)</f>
        <v>0</v>
      </c>
      <c r="M25" s="188"/>
      <c r="N25" s="188"/>
      <c r="O25" s="188"/>
    </row>
    <row r="26" spans="3:15" ht="9.75">
      <c r="C26" s="177" t="s">
        <v>50</v>
      </c>
      <c r="G26" s="218">
        <f>Staffing!F$235/('Pro Forma IS'!G$20)</f>
        <v>0.12176900718481523</v>
      </c>
      <c r="H26" s="218">
        <f>Staffing!G$235/('Pro Forma IS'!H$20)</f>
        <v>0.12421335995311406</v>
      </c>
      <c r="I26" s="218">
        <f>Staffing!H$235/('Pro Forma IS'!I$20)</f>
        <v>0.12783122480611733</v>
      </c>
      <c r="J26" s="218">
        <f>Staffing!I$235/('Pro Forma IS'!J$20)</f>
        <v>0.13144908965912067</v>
      </c>
      <c r="K26" s="218">
        <f>Staffing!J$235/('Pro Forma IS'!K$20)</f>
        <v>0.135066954512124</v>
      </c>
      <c r="L26" s="218">
        <f t="shared" si="1"/>
        <v>0.12806592722305826</v>
      </c>
      <c r="M26" s="188"/>
      <c r="N26" s="188"/>
      <c r="O26" s="188"/>
    </row>
    <row r="27" spans="3:15" ht="9.75">
      <c r="C27" s="177" t="s">
        <v>51</v>
      </c>
      <c r="G27" s="218">
        <f>Staffing!F$236/('Pro Forma IS'!G$20)</f>
        <v>0.026577258344189336</v>
      </c>
      <c r="H27" s="218">
        <f>Staffing!G$236/('Pro Forma IS'!H$20)</f>
        <v>0.02711076187279093</v>
      </c>
      <c r="I27" s="218">
        <f>Staffing!H$236/('Pro Forma IS'!I$20)</f>
        <v>0.02790039571374601</v>
      </c>
      <c r="J27" s="218">
        <f>Staffing!I$236/('Pro Forma IS'!J$20)</f>
        <v>0.028690029554701086</v>
      </c>
      <c r="K27" s="218">
        <f>Staffing!J$236/('Pro Forma IS'!K$20)</f>
        <v>0.02947966339565616</v>
      </c>
      <c r="L27" s="218">
        <f t="shared" si="1"/>
        <v>0.027951621776216705</v>
      </c>
      <c r="M27" s="188"/>
      <c r="N27" s="188"/>
      <c r="O27" s="188"/>
    </row>
    <row r="28" spans="3:15" ht="9.75">
      <c r="C28" s="177" t="s">
        <v>52</v>
      </c>
      <c r="G28" s="218">
        <f>Staffing!F$237/('Pro Forma IS'!G$20)</f>
        <v>0</v>
      </c>
      <c r="H28" s="218">
        <f>Staffing!G$237/('Pro Forma IS'!H$20)</f>
        <v>0</v>
      </c>
      <c r="I28" s="218">
        <f>Staffing!H$237/('Pro Forma IS'!I$20)</f>
        <v>0</v>
      </c>
      <c r="J28" s="218">
        <f>Staffing!I$237/('Pro Forma IS'!J$20)</f>
        <v>0</v>
      </c>
      <c r="K28" s="218">
        <f>Staffing!J$237/('Pro Forma IS'!K$20)</f>
        <v>0</v>
      </c>
      <c r="L28" s="218">
        <f t="shared" si="1"/>
        <v>0</v>
      </c>
      <c r="M28" s="188"/>
      <c r="N28" s="188"/>
      <c r="O28" s="188"/>
    </row>
    <row r="29" spans="3:15" ht="9.75">
      <c r="C29" s="177" t="s">
        <v>53</v>
      </c>
      <c r="G29" s="218">
        <f>Staffing!F$238/('Pro Forma IS'!G$20)</f>
        <v>0.033872976321025636</v>
      </c>
      <c r="H29" s="218">
        <f>Staffing!G$238/('Pro Forma IS'!H$20)</f>
        <v>0.034552931798655116</v>
      </c>
      <c r="I29" s="218">
        <f>Staffing!H$238/('Pro Forma IS'!I$20)</f>
        <v>0.0355593278704606</v>
      </c>
      <c r="J29" s="218">
        <f>Staffing!I$238/('Pro Forma IS'!J$20)</f>
        <v>0.03656572394226609</v>
      </c>
      <c r="K29" s="218">
        <f>Staffing!J$238/('Pro Forma IS'!K$20)</f>
        <v>0.037572120014071585</v>
      </c>
      <c r="L29" s="218">
        <f t="shared" si="1"/>
        <v>0.0356246159892958</v>
      </c>
      <c r="M29" s="188"/>
      <c r="N29" s="188"/>
      <c r="O29" s="188"/>
    </row>
    <row r="30" spans="3:15" ht="9.75">
      <c r="C30" s="177" t="s">
        <v>327</v>
      </c>
      <c r="G30" s="218">
        <f>Staffing!F$239/('Pro Forma IS'!G$20)</f>
        <v>0.005736692528214725</v>
      </c>
      <c r="H30" s="218">
        <f>Staffing!G$239/('Pro Forma IS'!H$20)</f>
        <v>0.005851849090515822</v>
      </c>
      <c r="I30" s="218">
        <f>Staffing!H$239/('Pro Forma IS'!I$20)</f>
        <v>0.006022291297035701</v>
      </c>
      <c r="J30" s="218">
        <f>Staffing!I$239/('Pro Forma IS'!J$20)</f>
        <v>0.006192733503555579</v>
      </c>
      <c r="K30" s="218">
        <f>Staffing!J$239/('Pro Forma IS'!K$20)</f>
        <v>0.006363175710075458</v>
      </c>
      <c r="L30" s="218">
        <f t="shared" si="1"/>
        <v>0.006033348425879457</v>
      </c>
      <c r="M30" s="188"/>
      <c r="N30" s="188"/>
      <c r="O30" s="188"/>
    </row>
    <row r="31" spans="3:15" ht="9.75">
      <c r="C31" s="177" t="s">
        <v>47</v>
      </c>
      <c r="G31" s="218">
        <f>Staffing!F$240/('Pro Forma IS'!G$20)</f>
        <v>0.03900603504044259</v>
      </c>
      <c r="H31" s="218">
        <f>Staffing!G$240/('Pro Forma IS'!H$20)</f>
        <v>0.03978902992506669</v>
      </c>
      <c r="I31" s="218">
        <f>Staffing!H$240/('Pro Forma IS'!I$20)</f>
        <v>0.04094793370929194</v>
      </c>
      <c r="J31" s="218">
        <f>Staffing!I$240/('Pro Forma IS'!J$20)</f>
        <v>0.04210683749351719</v>
      </c>
      <c r="K31" s="218">
        <f>Staffing!J$240/('Pro Forma IS'!K$20)</f>
        <v>0.04326574127774243</v>
      </c>
      <c r="L31" s="218">
        <f t="shared" si="1"/>
        <v>0.04102311548921217</v>
      </c>
      <c r="M31" s="188"/>
      <c r="N31" s="188"/>
      <c r="O31" s="188"/>
    </row>
    <row r="32" spans="3:15" ht="9.75">
      <c r="C32" s="177" t="s">
        <v>54</v>
      </c>
      <c r="G32" s="218">
        <f>Staffing!F$241/('Pro Forma IS'!G$20)</f>
        <v>0</v>
      </c>
      <c r="H32" s="218">
        <f>Staffing!G$241/('Pro Forma IS'!H$20)</f>
        <v>0</v>
      </c>
      <c r="I32" s="218">
        <f>Staffing!H$241/('Pro Forma IS'!I$20)</f>
        <v>0</v>
      </c>
      <c r="J32" s="218">
        <f>Staffing!I$241/('Pro Forma IS'!J$20)</f>
        <v>0</v>
      </c>
      <c r="K32" s="218">
        <f>Staffing!J$241/('Pro Forma IS'!K$20)</f>
        <v>0</v>
      </c>
      <c r="L32" s="218">
        <f t="shared" si="1"/>
        <v>0</v>
      </c>
      <c r="M32" s="188"/>
      <c r="N32" s="188"/>
      <c r="O32" s="188"/>
    </row>
    <row r="33" spans="4:15" ht="10.5" thickBot="1">
      <c r="D33" s="193" t="s">
        <v>332</v>
      </c>
      <c r="G33" s="221">
        <f aca="true" t="shared" si="2" ref="G33:L33">SUM(G24:G32)</f>
        <v>0.5517082731733409</v>
      </c>
      <c r="H33" s="221">
        <f t="shared" si="2"/>
        <v>0.5627830916021208</v>
      </c>
      <c r="I33" s="221">
        <f t="shared" si="2"/>
        <v>0.5791748321342214</v>
      </c>
      <c r="J33" s="221">
        <f t="shared" si="2"/>
        <v>0.595566572666322</v>
      </c>
      <c r="K33" s="221">
        <f t="shared" si="2"/>
        <v>0.6119583131984226</v>
      </c>
      <c r="L33" s="221">
        <f t="shared" si="2"/>
        <v>0.5802382165548856</v>
      </c>
      <c r="M33" s="188"/>
      <c r="N33" s="188"/>
      <c r="O33" s="188"/>
    </row>
    <row r="34" spans="7:15" ht="9.75">
      <c r="G34" s="189"/>
      <c r="H34" s="189"/>
      <c r="I34" s="189"/>
      <c r="J34" s="189"/>
      <c r="K34" s="189"/>
      <c r="L34" s="189"/>
      <c r="M34" s="188"/>
      <c r="N34" s="188"/>
      <c r="O34" s="188"/>
    </row>
    <row r="35" spans="2:15" ht="9.75">
      <c r="B35" s="177" t="s">
        <v>334</v>
      </c>
      <c r="G35" s="189"/>
      <c r="H35" s="189"/>
      <c r="I35" s="189"/>
      <c r="J35" s="189"/>
      <c r="K35" s="189"/>
      <c r="L35" s="189"/>
      <c r="M35" s="188"/>
      <c r="N35" s="188"/>
      <c r="O35" s="188"/>
    </row>
    <row r="36" spans="3:15" ht="9.75">
      <c r="C36" s="177" t="str">
        <f>'Patient Related'!B51</f>
        <v>Medications</v>
      </c>
      <c r="G36" s="218">
        <f>('Patient Related'!H15+'Patient Related'!H33+'Patient Related'!H51)/'Pro Forma IS'!G$20</f>
        <v>0.030825461266777116</v>
      </c>
      <c r="H36" s="218">
        <f>('Patient Related'!I15+'Patient Related'!I33+'Patient Related'!I51)/'Pro Forma IS'!H$20</f>
        <v>0.031444241885290124</v>
      </c>
      <c r="I36" s="218">
        <f>('Patient Related'!J15+'Patient Related'!J33+'Patient Related'!J51)/'Pro Forma IS'!I$20</f>
        <v>0.03236009359068692</v>
      </c>
      <c r="J36" s="218">
        <f>('Patient Related'!K15+'Patient Related'!K33+'Patient Related'!K51)/'Pro Forma IS'!J$20</f>
        <v>0.03327594529608372</v>
      </c>
      <c r="K36" s="218">
        <f>('Patient Related'!L15+'Patient Related'!L33+'Patient Related'!L51)/'Pro Forma IS'!K$20</f>
        <v>0.03419179700148053</v>
      </c>
      <c r="L36" s="218">
        <f aca="true" t="shared" si="3" ref="L36:L48">AVERAGE(G36:K36)</f>
        <v>0.032419507808063686</v>
      </c>
      <c r="M36" s="188"/>
      <c r="N36" s="188"/>
      <c r="O36" s="188"/>
    </row>
    <row r="37" spans="3:15" ht="9.75">
      <c r="C37" s="177" t="str">
        <f>'Patient Related'!B52</f>
        <v>Therapies</v>
      </c>
      <c r="G37" s="218">
        <f>('Patient Related'!H16+'Patient Related'!H34+'Patient Related'!H52)/'Pro Forma IS'!G$20</f>
        <v>0.0034647818463857485</v>
      </c>
      <c r="H37" s="218">
        <f>('Patient Related'!I16+'Patient Related'!I34+'Patient Related'!I52)/'Pro Forma IS'!H$20</f>
        <v>0.00353433278790661</v>
      </c>
      <c r="I37" s="218">
        <f>('Patient Related'!J16+'Patient Related'!J34+'Patient Related'!J52)/'Pro Forma IS'!I$20</f>
        <v>0.0036372745195932103</v>
      </c>
      <c r="J37" s="218">
        <f>('Patient Related'!K16+'Patient Related'!K34+'Patient Related'!K52)/'Pro Forma IS'!J$20</f>
        <v>0.0037402162512798114</v>
      </c>
      <c r="K37" s="218">
        <f>('Patient Related'!L16+'Patient Related'!L34+'Patient Related'!L52)/'Pro Forma IS'!K$20</f>
        <v>0.0038431579829664116</v>
      </c>
      <c r="L37" s="218">
        <f t="shared" si="3"/>
        <v>0.003643952677626359</v>
      </c>
      <c r="M37" s="188"/>
      <c r="N37" s="188"/>
      <c r="O37" s="188"/>
    </row>
    <row r="38" spans="3:15" ht="9.75">
      <c r="C38" s="177" t="str">
        <f>'Patient Related'!B53</f>
        <v>Medical Supplies</v>
      </c>
      <c r="G38" s="218">
        <f>('Patient Related'!H17+'Patient Related'!H35+'Patient Related'!H53)/'Pro Forma IS'!G$20</f>
        <v>0.014796221408053017</v>
      </c>
      <c r="H38" s="218">
        <f>('Patient Related'!I17+'Patient Related'!I35+'Patient Related'!I53)/'Pro Forma IS'!H$20</f>
        <v>0.015093236104939262</v>
      </c>
      <c r="I38" s="218">
        <f>('Patient Related'!J17+'Patient Related'!J35+'Patient Related'!J53)/'Pro Forma IS'!I$20</f>
        <v>0.015532844923529724</v>
      </c>
      <c r="J38" s="218">
        <f>('Patient Related'!K17+'Patient Related'!K35+'Patient Related'!K53)/'Pro Forma IS'!J$20</f>
        <v>0.015972453742120186</v>
      </c>
      <c r="K38" s="218">
        <f>('Patient Related'!L17+'Patient Related'!L35+'Patient Related'!L53)/'Pro Forma IS'!K$20</f>
        <v>0.016412062560710653</v>
      </c>
      <c r="L38" s="218">
        <f t="shared" si="3"/>
        <v>0.01556136374787057</v>
      </c>
      <c r="M38" s="188"/>
      <c r="N38" s="188"/>
      <c r="O38" s="188"/>
    </row>
    <row r="39" spans="3:15" ht="9.75">
      <c r="C39" s="177" t="str">
        <f>'Patient Related'!B54</f>
        <v>Lab</v>
      </c>
      <c r="G39" s="218">
        <f>('Patient Related'!H18+'Patient Related'!H36+'Patient Related'!H54)/'Pro Forma IS'!G$20</f>
        <v>0.0006165092253355423</v>
      </c>
      <c r="H39" s="218">
        <f>('Patient Related'!I18+'Patient Related'!I36+'Patient Related'!I54)/'Pro Forma IS'!H$20</f>
        <v>0.0006288848377058024</v>
      </c>
      <c r="I39" s="218">
        <f>('Patient Related'!J18+'Patient Related'!J36+'Patient Related'!J54)/'Pro Forma IS'!I$20</f>
        <v>0.0006472018718137385</v>
      </c>
      <c r="J39" s="218">
        <f>('Patient Related'!K18+'Patient Related'!K36+'Patient Related'!K54)/'Pro Forma IS'!J$20</f>
        <v>0.0006655189059216745</v>
      </c>
      <c r="K39" s="218">
        <f>('Patient Related'!L18+'Patient Related'!L36+'Patient Related'!L54)/'Pro Forma IS'!K$20</f>
        <v>0.0006838359400296104</v>
      </c>
      <c r="L39" s="218">
        <f t="shared" si="3"/>
        <v>0.0006483901561612736</v>
      </c>
      <c r="M39" s="188"/>
      <c r="N39" s="188"/>
      <c r="O39" s="188"/>
    </row>
    <row r="40" spans="3:15" ht="9.75">
      <c r="C40" s="177" t="str">
        <f>'Patient Related'!B55</f>
        <v>DME</v>
      </c>
      <c r="G40" s="218">
        <f>('Patient Related'!H19+'Patient Related'!H37+'Patient Related'!H55)/'Pro Forma IS'!G$20</f>
        <v>0.004315564577348796</v>
      </c>
      <c r="H40" s="218">
        <f>('Patient Related'!I19+'Patient Related'!I37+'Patient Related'!I55)/'Pro Forma IS'!H$20</f>
        <v>0.004402193863940617</v>
      </c>
      <c r="I40" s="218">
        <f>('Patient Related'!J19+'Patient Related'!J37+'Patient Related'!J55)/'Pro Forma IS'!I$20</f>
        <v>0.00453041310269617</v>
      </c>
      <c r="J40" s="218">
        <f>('Patient Related'!K19+'Patient Related'!K37+'Patient Related'!K55)/'Pro Forma IS'!J$20</f>
        <v>0.004658632341451721</v>
      </c>
      <c r="K40" s="218">
        <f>('Patient Related'!L19+'Patient Related'!L37+'Patient Related'!L55)/'Pro Forma IS'!K$20</f>
        <v>0.004786851580207273</v>
      </c>
      <c r="L40" s="218">
        <f t="shared" si="3"/>
        <v>0.004538731093128916</v>
      </c>
      <c r="M40" s="188"/>
      <c r="N40" s="188"/>
      <c r="O40" s="188"/>
    </row>
    <row r="41" spans="3:15" ht="9.75">
      <c r="C41" s="177" t="str">
        <f>'Patient Related'!B56</f>
        <v>Linen</v>
      </c>
      <c r="G41" s="218">
        <f>('Patient Related'!H20+'Patient Related'!H38+'Patient Related'!H56)/'Pro Forma IS'!G$20</f>
        <v>0.007829667161761387</v>
      </c>
      <c r="H41" s="218">
        <f>('Patient Related'!I20+'Patient Related'!I38+'Patient Related'!I56)/'Pro Forma IS'!H$20</f>
        <v>0.007986837438863692</v>
      </c>
      <c r="I41" s="218">
        <f>('Patient Related'!J20+'Patient Related'!J38+'Patient Related'!J56)/'Pro Forma IS'!I$20</f>
        <v>0.008219463772034478</v>
      </c>
      <c r="J41" s="218">
        <f>('Patient Related'!K20+'Patient Related'!K38+'Patient Related'!K56)/'Pro Forma IS'!J$20</f>
        <v>0.008452090105205265</v>
      </c>
      <c r="K41" s="218">
        <f>('Patient Related'!L20+'Patient Related'!L38+'Patient Related'!L56)/'Pro Forma IS'!K$20</f>
        <v>0.008684716438376053</v>
      </c>
      <c r="L41" s="218">
        <f t="shared" si="3"/>
        <v>0.008234554983248175</v>
      </c>
      <c r="M41" s="188"/>
      <c r="N41" s="188"/>
      <c r="O41" s="188"/>
    </row>
    <row r="42" spans="3:15" ht="9.75">
      <c r="C42" s="177" t="str">
        <f>'Patient Related'!B57</f>
        <v>Ambulance</v>
      </c>
      <c r="G42" s="218">
        <f>('Patient Related'!H21+'Patient Related'!H39+'Patient Related'!H57)/'Pro Forma IS'!G$20</f>
        <v>0.00844617638709693</v>
      </c>
      <c r="H42" s="218">
        <f>('Patient Related'!I21+'Patient Related'!I39+'Patient Related'!I57)/'Pro Forma IS'!H$20</f>
        <v>0.008615722276569494</v>
      </c>
      <c r="I42" s="218">
        <f>('Patient Related'!J21+'Patient Related'!J39+'Patient Related'!J57)/'Pro Forma IS'!I$20</f>
        <v>0.008866665643848217</v>
      </c>
      <c r="J42" s="218">
        <f>('Patient Related'!K21+'Patient Related'!K39+'Patient Related'!K57)/'Pro Forma IS'!J$20</f>
        <v>0.009117609011126938</v>
      </c>
      <c r="K42" s="218">
        <f>('Patient Related'!L21+'Patient Related'!L39+'Patient Related'!L57)/'Pro Forma IS'!K$20</f>
        <v>0.009368552378405663</v>
      </c>
      <c r="L42" s="218">
        <f t="shared" si="3"/>
        <v>0.008882945139409449</v>
      </c>
      <c r="M42" s="188"/>
      <c r="N42" s="188"/>
      <c r="O42" s="188"/>
    </row>
    <row r="43" spans="3:15" ht="9.75">
      <c r="C43" s="177" t="str">
        <f>'Patient Related'!B58</f>
        <v>Bio Hazardous</v>
      </c>
      <c r="G43" s="218">
        <f>('Patient Related'!H22+'Patient Related'!H40+'Patient Related'!H58)/'Pro Forma IS'!G$20</f>
        <v>0.0010961534026465943</v>
      </c>
      <c r="H43" s="218">
        <f>('Patient Related'!I22+'Patient Related'!I40+'Patient Related'!I58)/'Pro Forma IS'!H$20</f>
        <v>0.0011181572414409168</v>
      </c>
      <c r="I43" s="218">
        <f>('Patient Related'!J22+'Patient Related'!J40+'Patient Related'!J58)/'Pro Forma IS'!I$20</f>
        <v>0.001150724928084827</v>
      </c>
      <c r="J43" s="218">
        <f>('Patient Related'!K22+'Patient Related'!K40+'Patient Related'!K58)/'Pro Forma IS'!J$20</f>
        <v>0.0011832926147287374</v>
      </c>
      <c r="K43" s="218">
        <f>('Patient Related'!L22+'Patient Related'!L40+'Patient Related'!L58)/'Pro Forma IS'!K$20</f>
        <v>0.0012158603013726476</v>
      </c>
      <c r="L43" s="218">
        <f t="shared" si="3"/>
        <v>0.0011528376976547446</v>
      </c>
      <c r="M43" s="188"/>
      <c r="N43" s="188"/>
      <c r="O43" s="188"/>
    </row>
    <row r="44" spans="3:15" ht="9.75">
      <c r="C44" s="177" t="str">
        <f>'Patient Related'!B59</f>
        <v>Dietary</v>
      </c>
      <c r="G44" s="218">
        <f>('Patient Related'!H23+'Patient Related'!H41+'Patient Related'!H59)/'Pro Forma IS'!G$20</f>
        <v>0.002157782288674398</v>
      </c>
      <c r="H44" s="218">
        <f>('Patient Related'!I23+'Patient Related'!I41+'Patient Related'!I59)/'Pro Forma IS'!H$20</f>
        <v>0.0022010969319703087</v>
      </c>
      <c r="I44" s="218">
        <f>('Patient Related'!J23+'Patient Related'!J41+'Patient Related'!J59)/'Pro Forma IS'!I$20</f>
        <v>0.002265206551348085</v>
      </c>
      <c r="J44" s="218">
        <f>('Patient Related'!K23+'Patient Related'!K41+'Patient Related'!K59)/'Pro Forma IS'!J$20</f>
        <v>0.0023293161707258606</v>
      </c>
      <c r="K44" s="218">
        <f>('Patient Related'!L23+'Patient Related'!L41+'Patient Related'!L59)/'Pro Forma IS'!K$20</f>
        <v>0.0023934257901036364</v>
      </c>
      <c r="L44" s="218">
        <f t="shared" si="3"/>
        <v>0.002269365546564458</v>
      </c>
      <c r="M44" s="188"/>
      <c r="N44" s="188"/>
      <c r="O44" s="188"/>
    </row>
    <row r="45" spans="3:15" ht="9.75">
      <c r="C45" s="177" t="str">
        <f>'Patient Related'!B60</f>
        <v>Oxygen</v>
      </c>
      <c r="G45" s="218">
        <f>('Patient Related'!H24+'Patient Related'!H42+'Patient Related'!H60)/'Pro Forma IS'!G$20</f>
        <v>0.004315564577348796</v>
      </c>
      <c r="H45" s="218">
        <f>('Patient Related'!I24+'Patient Related'!I42+'Patient Related'!I60)/'Pro Forma IS'!H$20</f>
        <v>0.004402193863940617</v>
      </c>
      <c r="I45" s="218">
        <f>('Patient Related'!J24+'Patient Related'!J42+'Patient Related'!J60)/'Pro Forma IS'!I$20</f>
        <v>0.00453041310269617</v>
      </c>
      <c r="J45" s="218">
        <f>('Patient Related'!K24+'Patient Related'!K42+'Patient Related'!K60)/'Pro Forma IS'!J$20</f>
        <v>0.004658632341451721</v>
      </c>
      <c r="K45" s="218">
        <f>('Patient Related'!L24+'Patient Related'!L42+'Patient Related'!L60)/'Pro Forma IS'!K$20</f>
        <v>0.004786851580207273</v>
      </c>
      <c r="L45" s="218">
        <f t="shared" si="3"/>
        <v>0.004538731093128916</v>
      </c>
      <c r="M45" s="188"/>
      <c r="N45" s="188"/>
      <c r="O45" s="188"/>
    </row>
    <row r="46" spans="3:15" ht="9.75">
      <c r="C46" s="177" t="str">
        <f>'Patient Related'!B61</f>
        <v>Food</v>
      </c>
      <c r="G46" s="218">
        <f>('Patient Related'!H25+'Patient Related'!H43+'Patient Related'!H61)/'Pro Forma IS'!G$20</f>
        <v>0.0160292398587241</v>
      </c>
      <c r="H46" s="218">
        <f>('Patient Related'!I25+'Patient Related'!I43+'Patient Related'!I61)/'Pro Forma IS'!H$20</f>
        <v>0.016351005780350866</v>
      </c>
      <c r="I46" s="218">
        <f>('Patient Related'!J25+'Patient Related'!J43+'Patient Related'!J61)/'Pro Forma IS'!I$20</f>
        <v>0.016827248667157197</v>
      </c>
      <c r="J46" s="218">
        <f>('Patient Related'!K25+'Patient Related'!K43+'Patient Related'!K61)/'Pro Forma IS'!J$20</f>
        <v>0.017303491553963535</v>
      </c>
      <c r="K46" s="218">
        <f>('Patient Related'!L25+'Patient Related'!L43+'Patient Related'!L61)/'Pro Forma IS'!K$20</f>
        <v>0.017779734440769874</v>
      </c>
      <c r="L46" s="218">
        <f t="shared" si="3"/>
        <v>0.016858144060193113</v>
      </c>
      <c r="M46" s="188"/>
      <c r="N46" s="188"/>
      <c r="O46" s="188"/>
    </row>
    <row r="47" spans="3:15" ht="9.75">
      <c r="C47" s="177" t="str">
        <f>'Patient Related'!B62</f>
        <v>Imaging</v>
      </c>
      <c r="G47" s="218">
        <f>('Patient Related'!H26+'Patient Related'!H44+'Patient Related'!H62)/'Pro Forma IS'!G$20</f>
        <v>0.0006165092253355423</v>
      </c>
      <c r="H47" s="218">
        <f>('Patient Related'!I26+'Patient Related'!I44+'Patient Related'!I62)/'Pro Forma IS'!H$20</f>
        <v>0.0006288848377058024</v>
      </c>
      <c r="I47" s="218">
        <f>('Patient Related'!J26+'Patient Related'!J44+'Patient Related'!J62)/'Pro Forma IS'!I$20</f>
        <v>0.0006472018718137385</v>
      </c>
      <c r="J47" s="218">
        <f>('Patient Related'!K26+'Patient Related'!K44+'Patient Related'!K62)/'Pro Forma IS'!J$20</f>
        <v>0.0006655189059216745</v>
      </c>
      <c r="K47" s="218">
        <f>('Patient Related'!L26+'Patient Related'!L44+'Patient Related'!L62)/'Pro Forma IS'!K$20</f>
        <v>0.0006838359400296104</v>
      </c>
      <c r="L47" s="218">
        <f t="shared" si="3"/>
        <v>0.0006483901561612736</v>
      </c>
      <c r="M47" s="188"/>
      <c r="N47" s="188"/>
      <c r="O47" s="188"/>
    </row>
    <row r="48" spans="3:15" ht="9.75">
      <c r="C48" s="177" t="str">
        <f>'Patient Related'!B63</f>
        <v>Other</v>
      </c>
      <c r="G48" s="218">
        <f>('Patient Related'!H27+'Patient Related'!H45+'Patient Related'!H63)/'Pro Forma IS'!G$20</f>
        <v>0.004007309964681025</v>
      </c>
      <c r="H48" s="218">
        <f>('Patient Related'!I27+'Patient Related'!I45+'Patient Related'!I63)/'Pro Forma IS'!H$20</f>
        <v>0.004087751445087716</v>
      </c>
      <c r="I48" s="218">
        <f>('Patient Related'!J27+'Patient Related'!J45+'Patient Related'!J63)/'Pro Forma IS'!I$20</f>
        <v>0.004206812166789299</v>
      </c>
      <c r="J48" s="218">
        <f>('Patient Related'!K27+'Patient Related'!K45+'Patient Related'!K63)/'Pro Forma IS'!J$20</f>
        <v>0.004325872888490884</v>
      </c>
      <c r="K48" s="218">
        <f>('Patient Related'!L27+'Patient Related'!L45+'Patient Related'!L63)/'Pro Forma IS'!K$20</f>
        <v>0.0044449336101924685</v>
      </c>
      <c r="L48" s="218">
        <f t="shared" si="3"/>
        <v>0.004214536015048278</v>
      </c>
      <c r="M48" s="188"/>
      <c r="N48" s="188"/>
      <c r="O48" s="188"/>
    </row>
    <row r="49" spans="4:15" ht="10.5" thickBot="1">
      <c r="D49" s="193" t="s">
        <v>335</v>
      </c>
      <c r="G49" s="221">
        <f aca="true" t="shared" si="4" ref="G49:L49">SUM(G36:G48)</f>
        <v>0.09851694119016903</v>
      </c>
      <c r="H49" s="221">
        <f t="shared" si="4"/>
        <v>0.10049453929571184</v>
      </c>
      <c r="I49" s="221">
        <f t="shared" si="4"/>
        <v>0.10342156471209175</v>
      </c>
      <c r="J49" s="221">
        <f t="shared" si="4"/>
        <v>0.10634859012847174</v>
      </c>
      <c r="K49" s="221">
        <f t="shared" si="4"/>
        <v>0.10927561554485171</v>
      </c>
      <c r="L49" s="221">
        <f t="shared" si="4"/>
        <v>0.1036114501742592</v>
      </c>
      <c r="M49" s="188"/>
      <c r="N49" s="188"/>
      <c r="O49" s="188"/>
    </row>
    <row r="50" spans="3:15" ht="10.5">
      <c r="C50" s="193"/>
      <c r="G50" s="223"/>
      <c r="H50" s="223"/>
      <c r="I50" s="223"/>
      <c r="J50" s="223"/>
      <c r="K50" s="223"/>
      <c r="L50" s="223"/>
      <c r="M50" s="188"/>
      <c r="N50" s="188"/>
      <c r="O50" s="188"/>
    </row>
    <row r="51" spans="2:15" ht="10.5">
      <c r="B51" s="177" t="s">
        <v>396</v>
      </c>
      <c r="C51" s="193"/>
      <c r="G51" s="223">
        <f>G33+G49</f>
        <v>0.65022521436351</v>
      </c>
      <c r="H51" s="223">
        <f>H33+H49</f>
        <v>0.6632776308978326</v>
      </c>
      <c r="I51" s="223">
        <f>I33+I49</f>
        <v>0.6825963968463131</v>
      </c>
      <c r="J51" s="223">
        <f>J33+J49</f>
        <v>0.7019151627947937</v>
      </c>
      <c r="K51" s="223">
        <f>K33+K49</f>
        <v>0.7212339287432743</v>
      </c>
      <c r="L51" s="285">
        <f>AVERAGE(G51:K51)</f>
        <v>0.6838496667291448</v>
      </c>
      <c r="M51" s="188"/>
      <c r="N51" s="188"/>
      <c r="O51" s="188"/>
    </row>
    <row r="52" spans="3:15" ht="10.5">
      <c r="C52" s="193"/>
      <c r="G52" s="223"/>
      <c r="H52" s="223"/>
      <c r="I52" s="223"/>
      <c r="J52" s="223"/>
      <c r="K52" s="223"/>
      <c r="L52" s="223"/>
      <c r="M52" s="188"/>
      <c r="N52" s="188"/>
      <c r="O52" s="188"/>
    </row>
    <row r="53" spans="2:15" ht="10.5" thickBot="1">
      <c r="B53" s="176" t="s">
        <v>182</v>
      </c>
      <c r="G53" s="224">
        <f>G20-G51</f>
        <v>0.34977478563649</v>
      </c>
      <c r="H53" s="224">
        <f>H20-H51</f>
        <v>0.33672236910216735</v>
      </c>
      <c r="I53" s="224">
        <f>I20-I51</f>
        <v>0.3174036031536869</v>
      </c>
      <c r="J53" s="224">
        <f>J20-J51</f>
        <v>0.2980848372052063</v>
      </c>
      <c r="K53" s="224">
        <f>K20-K51</f>
        <v>0.2787660712567257</v>
      </c>
      <c r="L53" s="224">
        <f>AVERAGE(G53:K53)</f>
        <v>0.31615033327085523</v>
      </c>
      <c r="M53" s="188"/>
      <c r="N53" s="188"/>
      <c r="O53" s="188"/>
    </row>
    <row r="54" spans="7:15" ht="9.75">
      <c r="G54" s="189"/>
      <c r="H54" s="189"/>
      <c r="I54" s="189"/>
      <c r="J54" s="189"/>
      <c r="K54" s="189"/>
      <c r="L54" s="189"/>
      <c r="M54" s="188"/>
      <c r="N54" s="188"/>
      <c r="O54" s="188"/>
    </row>
    <row r="55" spans="2:15" ht="9.75">
      <c r="B55" s="177" t="s">
        <v>395</v>
      </c>
      <c r="G55" s="189"/>
      <c r="H55" s="189"/>
      <c r="I55" s="189"/>
      <c r="J55" s="189"/>
      <c r="K55" s="189"/>
      <c r="L55" s="189"/>
      <c r="M55" s="188"/>
      <c r="N55" s="188"/>
      <c r="O55" s="188"/>
    </row>
    <row r="56" spans="3:15" ht="9.75">
      <c r="C56" s="177" t="str">
        <f>Operations!B14</f>
        <v>Utilities (per sq. ft.)</v>
      </c>
      <c r="G56" s="218">
        <f>Operations!F14/'Pro Forma IS'!G$20</f>
        <v>0.013266848585053764</v>
      </c>
      <c r="H56" s="218">
        <f>Operations!G14/'Pro Forma IS'!H$20</f>
        <v>0.013533163132697716</v>
      </c>
      <c r="I56" s="218">
        <f>Operations!H14/'Pro Forma IS'!I$20</f>
        <v>0.013927332932679204</v>
      </c>
      <c r="J56" s="218">
        <f>Operations!I14/'Pro Forma IS'!J$20</f>
        <v>0.014321502732660689</v>
      </c>
      <c r="K56" s="218">
        <f>Operations!J14/'Pro Forma IS'!K$20</f>
        <v>0.01471567253264218</v>
      </c>
      <c r="L56" s="218">
        <f aca="true" t="shared" si="5" ref="L56:L71">AVERAGE(G56:K56)</f>
        <v>0.01395290398314671</v>
      </c>
      <c r="M56" s="188"/>
      <c r="N56" s="188"/>
      <c r="O56" s="188"/>
    </row>
    <row r="57" spans="3:15" ht="9.75">
      <c r="C57" s="177" t="str">
        <f>Operations!B15</f>
        <v>Housekeeping &amp; Janitorial (sq. ft)</v>
      </c>
      <c r="G57" s="218">
        <f>Operations!F15/'Pro Forma IS'!G$20</f>
        <v>0.0353782628934767</v>
      </c>
      <c r="H57" s="218">
        <f>Operations!G15/'Pro Forma IS'!H$20</f>
        <v>0.03608843502052724</v>
      </c>
      <c r="I57" s="218">
        <f>Operations!H15/'Pro Forma IS'!I$20</f>
        <v>0.03713955448714454</v>
      </c>
      <c r="J57" s="218">
        <f>Operations!I15/'Pro Forma IS'!J$20</f>
        <v>0.03819067395376184</v>
      </c>
      <c r="K57" s="218">
        <f>Operations!J15/'Pro Forma IS'!K$20</f>
        <v>0.039241793420379145</v>
      </c>
      <c r="L57" s="218">
        <f t="shared" si="5"/>
        <v>0.037207743955057895</v>
      </c>
      <c r="M57" s="188"/>
      <c r="N57" s="188"/>
      <c r="O57" s="188"/>
    </row>
    <row r="58" spans="3:15" ht="9.75">
      <c r="C58" s="177" t="str">
        <f>Operations!B16</f>
        <v>Lease of space (sq. ft)</v>
      </c>
      <c r="G58" s="218">
        <f>Operations!F16/'Pro Forma IS'!G$20</f>
        <v>0</v>
      </c>
      <c r="H58" s="218">
        <f>Operations!G16/'Pro Forma IS'!H$20</f>
        <v>0</v>
      </c>
      <c r="I58" s="218">
        <f>Operations!H16/'Pro Forma IS'!I$20</f>
        <v>0</v>
      </c>
      <c r="J58" s="218">
        <f>Operations!I16/'Pro Forma IS'!J$20</f>
        <v>0</v>
      </c>
      <c r="K58" s="218">
        <f>Operations!J16/'Pro Forma IS'!K$20</f>
        <v>0</v>
      </c>
      <c r="L58" s="218">
        <f t="shared" si="5"/>
        <v>0</v>
      </c>
      <c r="M58" s="188"/>
      <c r="N58" s="188"/>
      <c r="O58" s="188"/>
    </row>
    <row r="59" spans="3:15" ht="9.75">
      <c r="C59" s="177" t="str">
        <f>Operations!B17</f>
        <v>Building Maintenance (sq. ft.)</v>
      </c>
      <c r="G59" s="218">
        <f>Operations!F17/'Pro Forma IS'!G$20</f>
        <v>0.02211141430842294</v>
      </c>
      <c r="H59" s="218">
        <f>Operations!G17/'Pro Forma IS'!H$20</f>
        <v>0.022555271887829527</v>
      </c>
      <c r="I59" s="218">
        <f>Operations!H17/'Pro Forma IS'!I$20</f>
        <v>0.02321222155446534</v>
      </c>
      <c r="J59" s="218">
        <f>Operations!I17/'Pro Forma IS'!J$20</f>
        <v>0.02386917122110115</v>
      </c>
      <c r="K59" s="218">
        <f>Operations!J17/'Pro Forma IS'!K$20</f>
        <v>0.024526120887736966</v>
      </c>
      <c r="L59" s="218">
        <f t="shared" si="5"/>
        <v>0.023254839971911183</v>
      </c>
      <c r="M59" s="188"/>
      <c r="N59" s="188"/>
      <c r="O59" s="188"/>
    </row>
    <row r="60" spans="3:15" ht="9.75">
      <c r="C60" s="177" t="str">
        <f>Operations!B18</f>
        <v>Dietary (pt. day)*</v>
      </c>
      <c r="G60" s="218">
        <f>Operations!F18/'Pro Forma IS'!G$20</f>
        <v>0</v>
      </c>
      <c r="H60" s="218">
        <f>Operations!G18/'Pro Forma IS'!H$20</f>
        <v>0</v>
      </c>
      <c r="I60" s="218">
        <f>Operations!H18/'Pro Forma IS'!I$20</f>
        <v>0</v>
      </c>
      <c r="J60" s="218">
        <f>Operations!I18/'Pro Forma IS'!J$20</f>
        <v>0</v>
      </c>
      <c r="K60" s="218">
        <f>Operations!J18/'Pro Forma IS'!K$20</f>
        <v>0</v>
      </c>
      <c r="L60" s="218">
        <f t="shared" si="5"/>
        <v>0</v>
      </c>
      <c r="M60" s="188"/>
      <c r="N60" s="188"/>
      <c r="O60" s="188"/>
    </row>
    <row r="61" spans="3:15" ht="9.75">
      <c r="C61" s="177" t="str">
        <f>Operations!B19</f>
        <v>Telephone (pt. day)</v>
      </c>
      <c r="G61" s="218">
        <f>Operations!F19/'Pro Forma IS'!G$20</f>
        <v>0.002017666555643593</v>
      </c>
      <c r="H61" s="218">
        <f>Operations!G19/'Pro Forma IS'!H$20</f>
        <v>0.0020581685597644444</v>
      </c>
      <c r="I61" s="218">
        <f>Operations!H19/'Pro Forma IS'!I$20</f>
        <v>0.0021181152168449624</v>
      </c>
      <c r="J61" s="218">
        <f>Operations!I19/'Pro Forma IS'!J$20</f>
        <v>0.00217806187392548</v>
      </c>
      <c r="K61" s="218">
        <f>Operations!J19/'Pro Forma IS'!K$20</f>
        <v>0.002238008531005998</v>
      </c>
      <c r="L61" s="218">
        <f t="shared" si="5"/>
        <v>0.0021220041474368954</v>
      </c>
      <c r="M61" s="188"/>
      <c r="N61" s="188"/>
      <c r="O61" s="188"/>
    </row>
    <row r="62" spans="3:15" ht="9.75">
      <c r="C62" s="177" t="str">
        <f>Operations!B20</f>
        <v>Other (pt. day)</v>
      </c>
      <c r="G62" s="218">
        <f>Operations!F20/'Pro Forma IS'!G$20</f>
        <v>0</v>
      </c>
      <c r="H62" s="218">
        <f>Operations!G20/'Pro Forma IS'!H$20</f>
        <v>0</v>
      </c>
      <c r="I62" s="218">
        <f>Operations!H20/'Pro Forma IS'!I$20</f>
        <v>0</v>
      </c>
      <c r="J62" s="218">
        <f>Operations!I20/'Pro Forma IS'!J$20</f>
        <v>0</v>
      </c>
      <c r="K62" s="218">
        <f>Operations!J20/'Pro Forma IS'!K$20</f>
        <v>0</v>
      </c>
      <c r="L62" s="218">
        <f t="shared" si="5"/>
        <v>0</v>
      </c>
      <c r="M62" s="188"/>
      <c r="N62" s="188"/>
      <c r="O62" s="188"/>
    </row>
    <row r="63" spans="3:15" ht="9.75">
      <c r="C63" s="177" t="str">
        <f>Operations!B21</f>
        <v>Interest Expense</v>
      </c>
      <c r="G63" s="218">
        <f>Operations!F21/'Pro Forma IS'!G$20</f>
        <v>0</v>
      </c>
      <c r="H63" s="218">
        <f>Operations!G21/'Pro Forma IS'!H$20</f>
        <v>0</v>
      </c>
      <c r="I63" s="218">
        <f>Operations!H21/'Pro Forma IS'!I$20</f>
        <v>0</v>
      </c>
      <c r="J63" s="218">
        <f>Operations!I21/'Pro Forma IS'!J$20</f>
        <v>0</v>
      </c>
      <c r="K63" s="218">
        <f>Operations!J21/'Pro Forma IS'!K$20</f>
        <v>0</v>
      </c>
      <c r="L63" s="218">
        <f t="shared" si="5"/>
        <v>0</v>
      </c>
      <c r="M63" s="188"/>
      <c r="N63" s="188"/>
      <c r="O63" s="188"/>
    </row>
    <row r="64" spans="3:15" ht="9.75">
      <c r="C64" s="177" t="str">
        <f>Operations!B22</f>
        <v>Secondary Loan</v>
      </c>
      <c r="G64" s="218">
        <f>Operations!F22/'Pro Forma IS'!G$20</f>
        <v>0</v>
      </c>
      <c r="H64" s="218">
        <f>Operations!G22/'Pro Forma IS'!H$20</f>
        <v>0</v>
      </c>
      <c r="I64" s="218">
        <f>Operations!H22/'Pro Forma IS'!I$20</f>
        <v>0</v>
      </c>
      <c r="J64" s="218">
        <f>Operations!I22/'Pro Forma IS'!J$20</f>
        <v>0</v>
      </c>
      <c r="K64" s="218">
        <f>Operations!J22/'Pro Forma IS'!K$20</f>
        <v>0</v>
      </c>
      <c r="L64" s="218">
        <f t="shared" si="5"/>
        <v>0</v>
      </c>
      <c r="M64" s="188"/>
      <c r="N64" s="188"/>
      <c r="O64" s="188"/>
    </row>
    <row r="65" spans="3:15" ht="9.75">
      <c r="C65" s="177" t="str">
        <f>Operations!B23</f>
        <v>Landscaping &amp; Snow Removal</v>
      </c>
      <c r="G65" s="218">
        <f>Operations!F23/'Pro Forma IS'!G$20</f>
        <v>0.007677574412646854</v>
      </c>
      <c r="H65" s="218">
        <f>Operations!G23/'Pro Forma IS'!H$20</f>
        <v>0.007831691627718585</v>
      </c>
      <c r="I65" s="218">
        <f>Operations!H23/'Pro Forma IS'!I$20</f>
        <v>0.00805979915085602</v>
      </c>
      <c r="J65" s="218">
        <f>Operations!I23/'Pro Forma IS'!J$20</f>
        <v>0.008287906673993456</v>
      </c>
      <c r="K65" s="218">
        <f>Operations!J23/'Pro Forma IS'!K$20</f>
        <v>0.00851601419713089</v>
      </c>
      <c r="L65" s="218">
        <f t="shared" si="5"/>
        <v>0.00807459721246916</v>
      </c>
      <c r="M65" s="188"/>
      <c r="N65" s="188"/>
      <c r="O65" s="188"/>
    </row>
    <row r="66" spans="3:15" ht="9.75">
      <c r="C66" s="177" t="str">
        <f>Operations!B24</f>
        <v>Room Rental (use if renting beds)</v>
      </c>
      <c r="G66" s="218">
        <f>Operations!F24/'Pro Forma IS'!G$20</f>
        <v>0</v>
      </c>
      <c r="H66" s="218">
        <f>Operations!G24/'Pro Forma IS'!H$20</f>
        <v>0</v>
      </c>
      <c r="I66" s="218">
        <f>Operations!H24/'Pro Forma IS'!I$20</f>
        <v>0</v>
      </c>
      <c r="J66" s="218">
        <f>Operations!I24/'Pro Forma IS'!J$20</f>
        <v>0</v>
      </c>
      <c r="K66" s="218">
        <f>Operations!J24/'Pro Forma IS'!K$20</f>
        <v>0</v>
      </c>
      <c r="L66" s="218">
        <f t="shared" si="5"/>
        <v>0</v>
      </c>
      <c r="M66" s="188"/>
      <c r="N66" s="188"/>
      <c r="O66" s="188"/>
    </row>
    <row r="67" spans="3:15" ht="9.75">
      <c r="C67" s="177" t="str">
        <f>Operations!B25</f>
        <v>Additional Insurance</v>
      </c>
      <c r="G67" s="218">
        <f>Operations!F25/'Pro Forma IS'!G$20</f>
        <v>0.0036852357180704896</v>
      </c>
      <c r="H67" s="218">
        <f>Operations!G25/'Pro Forma IS'!H$20</f>
        <v>0.003759211981304921</v>
      </c>
      <c r="I67" s="218">
        <f>Operations!H25/'Pro Forma IS'!I$20</f>
        <v>0.0038687035924108897</v>
      </c>
      <c r="J67" s="218">
        <f>Operations!I25/'Pro Forma IS'!J$20</f>
        <v>0.003978195203516859</v>
      </c>
      <c r="K67" s="218">
        <f>Operations!J25/'Pro Forma IS'!K$20</f>
        <v>0.004087686814622828</v>
      </c>
      <c r="L67" s="218">
        <f t="shared" si="5"/>
        <v>0.0038758066619851974</v>
      </c>
      <c r="M67" s="188"/>
      <c r="N67" s="188"/>
      <c r="O67" s="188"/>
    </row>
    <row r="68" spans="3:15" ht="9.75">
      <c r="C68" s="177" t="str">
        <f>Operations!B26</f>
        <v>Computer (PCs, lines, software)</v>
      </c>
      <c r="G68" s="218">
        <f>Operations!F26/'Pro Forma IS'!G$20</f>
        <v>0.006142059530117483</v>
      </c>
      <c r="H68" s="218">
        <f>Operations!G26/'Pro Forma IS'!H$20</f>
        <v>0.006265353302174869</v>
      </c>
      <c r="I68" s="218">
        <f>Operations!H26/'Pro Forma IS'!I$20</f>
        <v>0.006447839320684816</v>
      </c>
      <c r="J68" s="218">
        <f>Operations!I26/'Pro Forma IS'!J$20</f>
        <v>0.006630325339194764</v>
      </c>
      <c r="K68" s="218">
        <f>Operations!J26/'Pro Forma IS'!K$20</f>
        <v>0.006812811357704712</v>
      </c>
      <c r="L68" s="218">
        <f t="shared" si="5"/>
        <v>0.006459677769975329</v>
      </c>
      <c r="M68" s="188"/>
      <c r="N68" s="188"/>
      <c r="O68" s="188"/>
    </row>
    <row r="69" spans="3:15" ht="9.75">
      <c r="C69" s="177" t="str">
        <f>Operations!B27</f>
        <v>spare</v>
      </c>
      <c r="G69" s="218">
        <f>Operations!F27/'Pro Forma IS'!G$20</f>
        <v>0</v>
      </c>
      <c r="H69" s="218">
        <f>Operations!G27/'Pro Forma IS'!H$20</f>
        <v>0</v>
      </c>
      <c r="I69" s="218">
        <f>Operations!H27/'Pro Forma IS'!I$20</f>
        <v>0</v>
      </c>
      <c r="J69" s="218">
        <f>Operations!I27/'Pro Forma IS'!J$20</f>
        <v>0</v>
      </c>
      <c r="K69" s="218">
        <f>Operations!J27/'Pro Forma IS'!K$20</f>
        <v>0</v>
      </c>
      <c r="L69" s="218">
        <f t="shared" si="5"/>
        <v>0</v>
      </c>
      <c r="M69" s="188"/>
      <c r="N69" s="188"/>
      <c r="O69" s="188"/>
    </row>
    <row r="70" spans="3:15" ht="9.75">
      <c r="C70" s="177" t="str">
        <f>Operations!B28</f>
        <v>Contingency</v>
      </c>
      <c r="G70" s="218">
        <f>Operations!F28/'Pro Forma IS'!G$20</f>
        <v>0.02303272323794056</v>
      </c>
      <c r="H70" s="218">
        <f>Operations!G28/'Pro Forma IS'!H$20</f>
        <v>0.023495074883155758</v>
      </c>
      <c r="I70" s="218">
        <f>Operations!H28/'Pro Forma IS'!I$20</f>
        <v>0.02417939745256806</v>
      </c>
      <c r="J70" s="218">
        <f>Operations!I28/'Pro Forma IS'!J$20</f>
        <v>0.024863720021980364</v>
      </c>
      <c r="K70" s="218">
        <f>Operations!J28/'Pro Forma IS'!K$20</f>
        <v>0.02554804259139267</v>
      </c>
      <c r="L70" s="218">
        <f t="shared" si="5"/>
        <v>0.024223791637407482</v>
      </c>
      <c r="M70" s="188"/>
      <c r="N70" s="188"/>
      <c r="O70" s="188"/>
    </row>
    <row r="71" spans="3:15" ht="9.75">
      <c r="C71" s="177" t="str">
        <f>Operations!B29</f>
        <v>Miscellaneous and Adminstrative</v>
      </c>
      <c r="G71" s="218">
        <f>Operations!F29/'Pro Forma IS'!G$20</f>
        <v>0.030710297650587415</v>
      </c>
      <c r="H71" s="218">
        <f>Operations!G29/'Pro Forma IS'!H$20</f>
        <v>0.03132676651087434</v>
      </c>
      <c r="I71" s="218">
        <f>Operations!H29/'Pro Forma IS'!I$20</f>
        <v>0.03223919660342408</v>
      </c>
      <c r="J71" s="218">
        <f>Operations!I29/'Pro Forma IS'!J$20</f>
        <v>0.033151626695973824</v>
      </c>
      <c r="K71" s="218">
        <f>Operations!J29/'Pro Forma IS'!K$20</f>
        <v>0.03406405678852356</v>
      </c>
      <c r="L71" s="218">
        <f t="shared" si="5"/>
        <v>0.03229838884987664</v>
      </c>
      <c r="M71" s="188"/>
      <c r="N71" s="188"/>
      <c r="O71" s="188"/>
    </row>
    <row r="72" spans="4:15" ht="10.5" thickBot="1">
      <c r="D72" s="193" t="s">
        <v>338</v>
      </c>
      <c r="G72" s="221">
        <f aca="true" t="shared" si="6" ref="G72:L72">SUM(G56:G71)</f>
        <v>0.14402208289195978</v>
      </c>
      <c r="H72" s="221">
        <f t="shared" si="6"/>
        <v>0.1469131369060474</v>
      </c>
      <c r="I72" s="221">
        <f t="shared" si="6"/>
        <v>0.1511921603110779</v>
      </c>
      <c r="J72" s="221">
        <f t="shared" si="6"/>
        <v>0.15547118371610844</v>
      </c>
      <c r="K72" s="221">
        <f t="shared" si="6"/>
        <v>0.15975020712113894</v>
      </c>
      <c r="L72" s="221">
        <f t="shared" si="6"/>
        <v>0.1514697541892665</v>
      </c>
      <c r="M72" s="188"/>
      <c r="N72" s="188"/>
      <c r="O72" s="188"/>
    </row>
    <row r="73" spans="7:15" ht="9.75">
      <c r="G73" s="189"/>
      <c r="H73" s="189"/>
      <c r="I73" s="189"/>
      <c r="J73" s="189"/>
      <c r="K73" s="189"/>
      <c r="L73" s="189"/>
      <c r="M73" s="188"/>
      <c r="N73" s="188"/>
      <c r="O73" s="188"/>
    </row>
    <row r="74" spans="2:15" ht="10.5" thickBot="1">
      <c r="B74" s="176" t="s">
        <v>398</v>
      </c>
      <c r="G74" s="224">
        <f>G53-G72</f>
        <v>0.20575270274453022</v>
      </c>
      <c r="H74" s="224">
        <f>H53-H72</f>
        <v>0.18980923219611995</v>
      </c>
      <c r="I74" s="224">
        <f>I53-I72</f>
        <v>0.16621144284260897</v>
      </c>
      <c r="J74" s="224">
        <f>J53-J72</f>
        <v>0.14261365348909785</v>
      </c>
      <c r="K74" s="224">
        <f>K53-K72</f>
        <v>0.11901586413558676</v>
      </c>
      <c r="L74" s="224">
        <f>AVERAGE(G74:K74)</f>
        <v>0.16468057908158876</v>
      </c>
      <c r="M74" s="188"/>
      <c r="N74" s="188"/>
      <c r="O74" s="188"/>
    </row>
    <row r="75" spans="2:15" ht="9.75">
      <c r="B75" s="193" t="s">
        <v>183</v>
      </c>
      <c r="G75" s="188"/>
      <c r="H75" s="188"/>
      <c r="I75" s="188"/>
      <c r="J75" s="188"/>
      <c r="K75" s="188"/>
      <c r="L75" s="188"/>
      <c r="M75" s="188"/>
      <c r="N75" s="188"/>
      <c r="O75" s="188"/>
    </row>
    <row r="76" spans="2:15" ht="9.75">
      <c r="B76" s="193"/>
      <c r="G76" s="188"/>
      <c r="H76" s="188"/>
      <c r="I76" s="188"/>
      <c r="J76" s="188"/>
      <c r="K76" s="188"/>
      <c r="L76" s="188"/>
      <c r="M76" s="188"/>
      <c r="N76" s="188"/>
      <c r="O76" s="188"/>
    </row>
    <row r="77" spans="2:15" ht="9.75">
      <c r="B77" s="177" t="s">
        <v>112</v>
      </c>
      <c r="G77" s="218">
        <f>'Pro Forma IS'!G36/'Pro Forma IS'!G20</f>
        <v>0</v>
      </c>
      <c r="H77" s="218">
        <f>'Pro Forma IS'!H36/'Pro Forma IS'!H20</f>
        <v>0</v>
      </c>
      <c r="I77" s="218">
        <f>'Pro Forma IS'!I36/'Pro Forma IS'!I20</f>
        <v>0</v>
      </c>
      <c r="J77" s="218">
        <f>'Pro Forma IS'!J36/'Pro Forma IS'!J20</f>
        <v>0</v>
      </c>
      <c r="K77" s="218">
        <f>'Pro Forma IS'!K36/'Pro Forma IS'!K20</f>
        <v>0</v>
      </c>
      <c r="L77" s="218">
        <f>'Pro Forma IS'!L36/'Pro Forma IS'!L20</f>
        <v>0</v>
      </c>
      <c r="M77" s="188"/>
      <c r="N77" s="188"/>
      <c r="O77" s="188"/>
    </row>
    <row r="78" spans="2:15" ht="9.75">
      <c r="B78" s="177" t="s">
        <v>80</v>
      </c>
      <c r="G78" s="218">
        <f>'Pro Forma IS'!G37/'Pro Forma IS'!G20</f>
        <v>0.020865941125926893</v>
      </c>
      <c r="H78" s="218">
        <f>'Pro Forma IS'!H37/'Pro Forma IS'!H20</f>
        <v>0.020664851910894993</v>
      </c>
      <c r="I78" s="218">
        <f>'Pro Forma IS'!I37/'Pro Forma IS'!I20</f>
        <v>0.020664851910894993</v>
      </c>
      <c r="J78" s="218">
        <f>'Pro Forma IS'!J37/'Pro Forma IS'!J20</f>
        <v>0.020664851910894993</v>
      </c>
      <c r="K78" s="218">
        <f>'Pro Forma IS'!K37/'Pro Forma IS'!K20</f>
        <v>0.020664851910894993</v>
      </c>
      <c r="L78" s="218">
        <f>'Pro Forma IS'!L37/'Pro Forma IS'!L20</f>
        <v>0.020704759085239527</v>
      </c>
      <c r="M78" s="188"/>
      <c r="N78" s="188"/>
      <c r="O78" s="188"/>
    </row>
    <row r="79" spans="7:15" ht="9.75">
      <c r="G79" s="188"/>
      <c r="H79" s="188"/>
      <c r="I79" s="188"/>
      <c r="J79" s="188"/>
      <c r="K79" s="188"/>
      <c r="L79" s="188"/>
      <c r="M79" s="188"/>
      <c r="N79" s="188"/>
      <c r="O79" s="188"/>
    </row>
    <row r="80" spans="2:15" ht="10.5" thickBot="1">
      <c r="B80" s="176" t="s">
        <v>337</v>
      </c>
      <c r="G80" s="225">
        <f>G74+G77-G78</f>
        <v>0.18488676161860335</v>
      </c>
      <c r="H80" s="225">
        <f>H74+H77-H78</f>
        <v>0.16914438028522497</v>
      </c>
      <c r="I80" s="225">
        <f>I74+I77-I78</f>
        <v>0.145546590931714</v>
      </c>
      <c r="J80" s="225">
        <f>J74+J77-J78</f>
        <v>0.12194880157820286</v>
      </c>
      <c r="K80" s="225">
        <f>K74+K77-K78</f>
        <v>0.09835101222469177</v>
      </c>
      <c r="L80" s="225">
        <f>AVERAGE(G80:K80)</f>
        <v>0.14397550932768738</v>
      </c>
      <c r="M80" s="191"/>
      <c r="N80" s="191"/>
      <c r="O80" s="191"/>
    </row>
    <row r="81" spans="7:15" ht="10.5" thickTop="1">
      <c r="G81" s="188"/>
      <c r="H81" s="188"/>
      <c r="I81" s="188"/>
      <c r="J81" s="188"/>
      <c r="K81" s="188"/>
      <c r="L81" s="188"/>
      <c r="N81" s="188"/>
      <c r="O81" s="188"/>
    </row>
    <row r="82" spans="7:11" ht="9.75">
      <c r="G82" s="195"/>
      <c r="H82" s="195"/>
      <c r="I82" s="195"/>
      <c r="J82" s="195"/>
      <c r="K82" s="195"/>
    </row>
    <row r="83" spans="6:11" ht="9.75">
      <c r="F83" s="196" t="str">
        <f>Reserved</f>
        <v>This product was created by Multi-View Incorporated.  It is reserved for the exclusive use of MVI clients. Need help?  828-698-5885</v>
      </c>
      <c r="H83" s="195"/>
      <c r="I83" s="195"/>
      <c r="J83" s="195"/>
      <c r="K83" s="195"/>
    </row>
    <row r="84" ht="12" customHeight="1"/>
  </sheetData>
  <sheetProtection password="DFAD" sheet="1" objects="1" scenarios="1"/>
  <printOptions/>
  <pageMargins left="0" right="0" top="0.5" bottom="0.5" header="0.5" footer="0.5"/>
  <pageSetup horizontalDpi="600" verticalDpi="600" orientation="landscape" scale="95" r:id="rId1"/>
  <headerFooter alignWithMargins="0">
    <oddFooter>&amp;L&amp;F  &amp;A</oddFooter>
  </headerFooter>
</worksheet>
</file>

<file path=xl/worksheets/sheet6.xml><?xml version="1.0" encoding="utf-8"?>
<worksheet xmlns="http://schemas.openxmlformats.org/spreadsheetml/2006/main" xmlns:r="http://schemas.openxmlformats.org/officeDocument/2006/relationships">
  <sheetPr>
    <tabColor theme="7" tint="-0.24997000396251678"/>
  </sheetPr>
  <dimension ref="A2:R82"/>
  <sheetViews>
    <sheetView showGridLines="0" zoomScalePageLayoutView="0" workbookViewId="0" topLeftCell="A1">
      <pane xSplit="6" ySplit="5" topLeftCell="G6" activePane="bottomRight" state="frozen"/>
      <selection pane="topLeft" activeCell="A1" sqref="A1"/>
      <selection pane="topRight" activeCell="G1" sqref="G1"/>
      <selection pane="bottomLeft" activeCell="A5" sqref="A5"/>
      <selection pane="bottomRight" activeCell="F1" sqref="F1"/>
    </sheetView>
  </sheetViews>
  <sheetFormatPr defaultColWidth="9.140625" defaultRowHeight="12.75"/>
  <cols>
    <col min="1" max="1" width="1.28515625" style="177" customWidth="1"/>
    <col min="2" max="2" width="3.7109375" style="177" customWidth="1"/>
    <col min="3" max="3" width="3.28125" style="177" customWidth="1"/>
    <col min="4" max="4" width="2.7109375" style="177" customWidth="1"/>
    <col min="5" max="5" width="6.8515625" style="177" customWidth="1"/>
    <col min="6" max="6" width="19.57421875" style="177" customWidth="1"/>
    <col min="7" max="7" width="12.7109375" style="177" customWidth="1"/>
    <col min="8" max="8" width="10.28125" style="177" customWidth="1"/>
    <col min="9" max="9" width="11.57421875" style="177" customWidth="1"/>
    <col min="10" max="10" width="12.28125" style="188" customWidth="1"/>
    <col min="11" max="12" width="13.28125" style="188" customWidth="1"/>
    <col min="13" max="13" width="9.00390625" style="177" customWidth="1"/>
    <col min="14" max="14" width="8.00390625" style="177" customWidth="1"/>
    <col min="15" max="15" width="8.140625" style="177" customWidth="1"/>
    <col min="16" max="16384" width="9.140625" style="177" customWidth="1"/>
  </cols>
  <sheetData>
    <row r="2" spans="1:11" ht="10.5">
      <c r="A2" s="176" t="s">
        <v>333</v>
      </c>
      <c r="H2" s="177">
        <f>Version</f>
        <v>20</v>
      </c>
      <c r="J2" s="237" t="s">
        <v>339</v>
      </c>
      <c r="K2" s="266" t="s">
        <v>377</v>
      </c>
    </row>
    <row r="3" spans="1:11" ht="10.5">
      <c r="A3" s="176"/>
      <c r="J3" s="230"/>
      <c r="K3" s="230"/>
    </row>
    <row r="4" spans="1:14" ht="10.5">
      <c r="A4" s="176"/>
      <c r="G4" s="239"/>
      <c r="H4" s="240" t="s">
        <v>350</v>
      </c>
      <c r="I4" s="241"/>
      <c r="J4" s="238"/>
      <c r="K4" s="242" t="s">
        <v>351</v>
      </c>
      <c r="L4" s="243"/>
      <c r="N4" s="234" t="s">
        <v>348</v>
      </c>
    </row>
    <row r="5" spans="7:18" s="181" customFormat="1" ht="10.5">
      <c r="G5" s="197" t="s">
        <v>340</v>
      </c>
      <c r="H5" s="197" t="s">
        <v>341</v>
      </c>
      <c r="I5" s="197" t="s">
        <v>343</v>
      </c>
      <c r="J5" s="231" t="s">
        <v>342</v>
      </c>
      <c r="K5" s="231" t="s">
        <v>341</v>
      </c>
      <c r="L5" s="244" t="s">
        <v>343</v>
      </c>
      <c r="M5" s="177"/>
      <c r="N5" s="235" t="s">
        <v>344</v>
      </c>
      <c r="O5" s="235" t="s">
        <v>345</v>
      </c>
      <c r="P5" s="236" t="s">
        <v>346</v>
      </c>
      <c r="Q5" s="236" t="s">
        <v>347</v>
      </c>
      <c r="R5" s="236" t="s">
        <v>349</v>
      </c>
    </row>
    <row r="7" ht="10.5">
      <c r="A7" s="176" t="s">
        <v>6</v>
      </c>
    </row>
    <row r="8" spans="2:18" ht="9.75">
      <c r="B8" s="177" t="s">
        <v>7</v>
      </c>
      <c r="G8" s="218" t="e">
        <f>J8/$J$15</f>
        <v>#NAME?</v>
      </c>
      <c r="H8" s="218">
        <f>'Pro Forma IS'!G13/'Pro Forma IS'!G$20</f>
        <v>0.8844847570196893</v>
      </c>
      <c r="I8" s="218" t="e">
        <f>G8-H8</f>
        <v>#NAME?</v>
      </c>
      <c r="J8" s="188" t="e">
        <f>_XLL.NGL(R8,Period)</f>
        <v>#NAME?</v>
      </c>
      <c r="K8" s="188" t="e">
        <f>H8*J8</f>
        <v>#NAME?</v>
      </c>
      <c r="L8" s="188" t="e">
        <f>J8-K8</f>
        <v>#NAME?</v>
      </c>
      <c r="M8" s="188"/>
      <c r="N8" s="267"/>
      <c r="O8" s="267"/>
      <c r="P8" s="268"/>
      <c r="Q8" s="268"/>
      <c r="R8" s="177" t="e">
        <f>_XLL.BSPEC(N8,O8,P8,Q8)</f>
        <v>#NAME?</v>
      </c>
    </row>
    <row r="9" spans="2:18" ht="9.75">
      <c r="B9" s="177" t="s">
        <v>8</v>
      </c>
      <c r="G9" s="218" t="e">
        <f aca="true" t="shared" si="0" ref="G9:G14">J9/$J$15</f>
        <v>#NAME?</v>
      </c>
      <c r="H9" s="218">
        <f>'Pro Forma IS'!G14/'Pro Forma IS'!G$20</f>
        <v>0.01957360744147135</v>
      </c>
      <c r="I9" s="218" t="e">
        <f aca="true" t="shared" si="1" ref="I9:I14">G9-H9</f>
        <v>#NAME?</v>
      </c>
      <c r="J9" s="188" t="e">
        <f>_XLL.NGL(R9,Period)</f>
        <v>#NAME?</v>
      </c>
      <c r="K9" s="188" t="e">
        <f aca="true" t="shared" si="2" ref="K9:K14">H9*J9</f>
        <v>#NAME?</v>
      </c>
      <c r="L9" s="188" t="e">
        <f aca="true" t="shared" si="3" ref="L9:L14">J9-K9</f>
        <v>#NAME?</v>
      </c>
      <c r="M9" s="188"/>
      <c r="N9" s="267"/>
      <c r="O9" s="267"/>
      <c r="P9" s="268"/>
      <c r="Q9" s="268"/>
      <c r="R9" s="177" t="e">
        <f>_XLL.BSPEC(N9,O9,P9,Q9)</f>
        <v>#NAME?</v>
      </c>
    </row>
    <row r="10" spans="2:18" ht="9.75">
      <c r="B10" s="177" t="s">
        <v>285</v>
      </c>
      <c r="G10" s="218" t="e">
        <f t="shared" si="0"/>
        <v>#NAME?</v>
      </c>
      <c r="H10" s="218">
        <f>'Pro Forma IS'!G15/'Pro Forma IS'!G$20</f>
        <v>0.09680064676238669</v>
      </c>
      <c r="I10" s="218" t="e">
        <f t="shared" si="1"/>
        <v>#NAME?</v>
      </c>
      <c r="J10" s="188" t="e">
        <f>_XLL.NGL(R10,Period)</f>
        <v>#NAME?</v>
      </c>
      <c r="K10" s="188" t="e">
        <f t="shared" si="2"/>
        <v>#NAME?</v>
      </c>
      <c r="L10" s="188" t="e">
        <f t="shared" si="3"/>
        <v>#NAME?</v>
      </c>
      <c r="M10" s="188"/>
      <c r="N10" s="267"/>
      <c r="O10" s="267"/>
      <c r="P10" s="268"/>
      <c r="Q10" s="268"/>
      <c r="R10" s="177" t="e">
        <f>_XLL.BSPEC(N10,O10,P10,Q10)</f>
        <v>#NAME?</v>
      </c>
    </row>
    <row r="11" spans="2:18" ht="9.75">
      <c r="B11" s="177" t="s">
        <v>9</v>
      </c>
      <c r="G11" s="218" t="e">
        <f t="shared" si="0"/>
        <v>#NAME?</v>
      </c>
      <c r="H11" s="218">
        <f>'Pro Forma IS'!G16/'Pro Forma IS'!G$20</f>
        <v>-0.01768969514039379</v>
      </c>
      <c r="I11" s="218" t="e">
        <f t="shared" si="1"/>
        <v>#NAME?</v>
      </c>
      <c r="J11" s="188" t="e">
        <f>_XLL.NGL(R11,Period)</f>
        <v>#NAME?</v>
      </c>
      <c r="K11" s="188" t="e">
        <f t="shared" si="2"/>
        <v>#NAME?</v>
      </c>
      <c r="L11" s="188" t="e">
        <f t="shared" si="3"/>
        <v>#NAME?</v>
      </c>
      <c r="M11" s="188"/>
      <c r="N11" s="267"/>
      <c r="O11" s="267"/>
      <c r="P11" s="268"/>
      <c r="Q11" s="268"/>
      <c r="R11" s="177" t="e">
        <f>_XLL.BSPEC(N11,O11,P11,Q11)</f>
        <v>#NAME?</v>
      </c>
    </row>
    <row r="12" spans="2:18" ht="9.75">
      <c r="B12" s="177" t="s">
        <v>10</v>
      </c>
      <c r="G12" s="218" t="e">
        <f t="shared" si="0"/>
        <v>#NAME?</v>
      </c>
      <c r="H12" s="218">
        <f>'Pro Forma IS'!G17/'Pro Forma IS'!G$20</f>
        <v>-0.00039147214882942694</v>
      </c>
      <c r="I12" s="218" t="e">
        <f t="shared" si="1"/>
        <v>#NAME?</v>
      </c>
      <c r="J12" s="188" t="e">
        <f>_XLL.NGL(R12,Period)</f>
        <v>#NAME?</v>
      </c>
      <c r="K12" s="188" t="e">
        <f t="shared" si="2"/>
        <v>#NAME?</v>
      </c>
      <c r="L12" s="188" t="e">
        <f t="shared" si="3"/>
        <v>#NAME?</v>
      </c>
      <c r="M12" s="188"/>
      <c r="N12" s="267"/>
      <c r="O12" s="267"/>
      <c r="P12" s="268"/>
      <c r="Q12" s="268"/>
      <c r="R12" s="177" t="e">
        <f>_XLL.BSPEC(N12,O12,P12,Q12)</f>
        <v>#NAME?</v>
      </c>
    </row>
    <row r="13" spans="2:18" ht="9.75">
      <c r="B13" s="177" t="s">
        <v>321</v>
      </c>
      <c r="G13" s="218" t="e">
        <f t="shared" si="0"/>
        <v>#NAME?</v>
      </c>
      <c r="H13" s="218">
        <f>'Pro Forma IS'!G18/'Pro Forma IS'!G$20</f>
        <v>-0.00968006467623867</v>
      </c>
      <c r="I13" s="218" t="e">
        <f t="shared" si="1"/>
        <v>#NAME?</v>
      </c>
      <c r="J13" s="188" t="e">
        <f>_XLL.NGL(R13,Period)</f>
        <v>#NAME?</v>
      </c>
      <c r="K13" s="188" t="e">
        <f t="shared" si="2"/>
        <v>#NAME?</v>
      </c>
      <c r="L13" s="188" t="e">
        <f t="shared" si="3"/>
        <v>#NAME?</v>
      </c>
      <c r="M13" s="188"/>
      <c r="N13" s="267"/>
      <c r="O13" s="267"/>
      <c r="P13" s="268"/>
      <c r="Q13" s="268"/>
      <c r="R13" s="177" t="e">
        <f>_XLL.BSPEC(N13,O13,P13,Q13)</f>
        <v>#NAME?</v>
      </c>
    </row>
    <row r="14" spans="2:18" ht="9.75">
      <c r="B14" s="177" t="s">
        <v>381</v>
      </c>
      <c r="G14" s="218" t="e">
        <f t="shared" si="0"/>
        <v>#NAME?</v>
      </c>
      <c r="H14" s="218">
        <f>'Pro Forma IS'!G19/'Pro Forma IS'!G$20</f>
        <v>0.026902220741914576</v>
      </c>
      <c r="I14" s="218" t="e">
        <f t="shared" si="1"/>
        <v>#NAME?</v>
      </c>
      <c r="J14" s="188" t="e">
        <f>_XLL.NGL(R14,Period)</f>
        <v>#NAME?</v>
      </c>
      <c r="K14" s="188" t="e">
        <f t="shared" si="2"/>
        <v>#NAME?</v>
      </c>
      <c r="L14" s="188" t="e">
        <f t="shared" si="3"/>
        <v>#NAME?</v>
      </c>
      <c r="M14" s="188"/>
      <c r="N14" s="267"/>
      <c r="O14" s="267"/>
      <c r="P14" s="268"/>
      <c r="Q14" s="268"/>
      <c r="R14" s="177" t="e">
        <f>_XLL.BSPEC(N14,O14,P14,Q14)</f>
        <v>#NAME?</v>
      </c>
    </row>
    <row r="15" spans="3:17" ht="9.75">
      <c r="C15" s="193" t="s">
        <v>11</v>
      </c>
      <c r="G15" s="219" t="e">
        <f>SUM(G8:G14)</f>
        <v>#NAME?</v>
      </c>
      <c r="H15" s="219">
        <f>'Pro Forma IS'!G20/'Pro Forma IS'!G$20</f>
        <v>1</v>
      </c>
      <c r="I15" s="219" t="e">
        <f>SUM(I8:I14)</f>
        <v>#NAME?</v>
      </c>
      <c r="J15" s="226" t="e">
        <f>SUM(J8:J14)</f>
        <v>#NAME?</v>
      </c>
      <c r="K15" s="226" t="e">
        <f>SUM(K8:K14)</f>
        <v>#NAME?</v>
      </c>
      <c r="L15" s="226" t="e">
        <f>AVERAGE(H15:K15)</f>
        <v>#NAME?</v>
      </c>
      <c r="M15" s="191"/>
      <c r="N15" s="269"/>
      <c r="O15" s="269"/>
      <c r="P15" s="270"/>
      <c r="Q15" s="270"/>
    </row>
    <row r="16" spans="7:17" ht="9.75">
      <c r="G16" s="188"/>
      <c r="H16" s="188"/>
      <c r="I16" s="188"/>
      <c r="M16" s="188"/>
      <c r="N16" s="271"/>
      <c r="O16" s="271"/>
      <c r="P16" s="270"/>
      <c r="Q16" s="270"/>
    </row>
    <row r="17" spans="1:17" ht="10.5">
      <c r="A17" s="176" t="s">
        <v>12</v>
      </c>
      <c r="G17" s="188"/>
      <c r="H17" s="188"/>
      <c r="I17" s="188"/>
      <c r="M17" s="188"/>
      <c r="N17" s="271"/>
      <c r="O17" s="271"/>
      <c r="P17" s="270"/>
      <c r="Q17" s="270"/>
    </row>
    <row r="18" spans="2:17" ht="9.75">
      <c r="B18" s="177" t="s">
        <v>13</v>
      </c>
      <c r="G18" s="189"/>
      <c r="H18" s="189"/>
      <c r="I18" s="189"/>
      <c r="M18" s="188"/>
      <c r="N18" s="271"/>
      <c r="O18" s="271"/>
      <c r="P18" s="270"/>
      <c r="Q18" s="270"/>
    </row>
    <row r="19" spans="3:18" ht="9.75">
      <c r="C19" s="177" t="s">
        <v>48</v>
      </c>
      <c r="G19" s="218" t="e">
        <f aca="true" t="shared" si="4" ref="G19:G27">J19/$J$15</f>
        <v>#NAME?</v>
      </c>
      <c r="H19" s="218">
        <f>Staffing!F$233/('Pro Forma IS'!G$20)</f>
        <v>0.3247463037546534</v>
      </c>
      <c r="I19" s="218" t="e">
        <f aca="true" t="shared" si="5" ref="I19:I27">G19-H19</f>
        <v>#NAME?</v>
      </c>
      <c r="J19" s="188" t="e">
        <f>_XLL.GL(R19,Period)</f>
        <v>#NAME?</v>
      </c>
      <c r="K19" s="188" t="e">
        <f>H19*J19</f>
        <v>#NAME?</v>
      </c>
      <c r="L19" s="188" t="e">
        <f aca="true" t="shared" si="6" ref="L19:L27">J19-K19</f>
        <v>#NAME?</v>
      </c>
      <c r="M19" s="188"/>
      <c r="N19" s="268"/>
      <c r="O19" s="267"/>
      <c r="P19" s="268"/>
      <c r="Q19" s="268"/>
      <c r="R19" s="177" t="e">
        <f>_XLL.BSPEC(N19,O19,P19,Q19)</f>
        <v>#NAME?</v>
      </c>
    </row>
    <row r="20" spans="3:18" ht="9.75">
      <c r="C20" s="177" t="s">
        <v>49</v>
      </c>
      <c r="G20" s="218" t="e">
        <f t="shared" si="4"/>
        <v>#NAME?</v>
      </c>
      <c r="H20" s="218">
        <f>Staffing!F$234/('Pro Forma IS'!G$20)</f>
        <v>0</v>
      </c>
      <c r="I20" s="218" t="e">
        <f t="shared" si="5"/>
        <v>#NAME?</v>
      </c>
      <c r="J20" s="188" t="e">
        <f>_XLL.GL(R20,Period)</f>
        <v>#NAME?</v>
      </c>
      <c r="K20" s="188" t="e">
        <f aca="true" t="shared" si="7" ref="K20:K27">H20*J20</f>
        <v>#NAME?</v>
      </c>
      <c r="L20" s="188" t="e">
        <f t="shared" si="6"/>
        <v>#NAME?</v>
      </c>
      <c r="M20" s="188"/>
      <c r="N20" s="268"/>
      <c r="O20" s="267"/>
      <c r="P20" s="268"/>
      <c r="Q20" s="268"/>
      <c r="R20" s="177" t="e">
        <f>_XLL.BSPEC(N20,O20,P20,Q20)</f>
        <v>#NAME?</v>
      </c>
    </row>
    <row r="21" spans="3:18" ht="9.75">
      <c r="C21" s="177" t="s">
        <v>50</v>
      </c>
      <c r="G21" s="218" t="e">
        <f t="shared" si="4"/>
        <v>#NAME?</v>
      </c>
      <c r="H21" s="218">
        <f>Staffing!F$235/('Pro Forma IS'!G$20)</f>
        <v>0.12176900718481523</v>
      </c>
      <c r="I21" s="218" t="e">
        <f t="shared" si="5"/>
        <v>#NAME?</v>
      </c>
      <c r="J21" s="188" t="e">
        <f>_XLL.GL(R21,Period)</f>
        <v>#NAME?</v>
      </c>
      <c r="K21" s="188" t="e">
        <f t="shared" si="7"/>
        <v>#NAME?</v>
      </c>
      <c r="L21" s="188" t="e">
        <f t="shared" si="6"/>
        <v>#NAME?</v>
      </c>
      <c r="M21" s="188"/>
      <c r="N21" s="268"/>
      <c r="O21" s="267"/>
      <c r="P21" s="268"/>
      <c r="Q21" s="268"/>
      <c r="R21" s="177" t="e">
        <f>_XLL.BSPEC(N21,O21,P21,Q21)</f>
        <v>#NAME?</v>
      </c>
    </row>
    <row r="22" spans="3:18" ht="9.75">
      <c r="C22" s="177" t="s">
        <v>51</v>
      </c>
      <c r="G22" s="218" t="e">
        <f t="shared" si="4"/>
        <v>#NAME?</v>
      </c>
      <c r="H22" s="218">
        <f>Staffing!F$236/('Pro Forma IS'!G$20)</f>
        <v>0.026577258344189336</v>
      </c>
      <c r="I22" s="218" t="e">
        <f t="shared" si="5"/>
        <v>#NAME?</v>
      </c>
      <c r="J22" s="188" t="e">
        <f>_XLL.GL(R22,Period)</f>
        <v>#NAME?</v>
      </c>
      <c r="K22" s="188" t="e">
        <f t="shared" si="7"/>
        <v>#NAME?</v>
      </c>
      <c r="L22" s="188" t="e">
        <f t="shared" si="6"/>
        <v>#NAME?</v>
      </c>
      <c r="M22" s="188"/>
      <c r="N22" s="268"/>
      <c r="O22" s="267"/>
      <c r="P22" s="268"/>
      <c r="Q22" s="268"/>
      <c r="R22" s="177" t="e">
        <f>_XLL.BSPEC(N22,O22,P22,Q22)</f>
        <v>#NAME?</v>
      </c>
    </row>
    <row r="23" spans="3:18" ht="9.75">
      <c r="C23" s="177" t="s">
        <v>52</v>
      </c>
      <c r="G23" s="218" t="e">
        <f t="shared" si="4"/>
        <v>#NAME?</v>
      </c>
      <c r="H23" s="218">
        <f>Staffing!F$237/('Pro Forma IS'!G$20)</f>
        <v>0</v>
      </c>
      <c r="I23" s="218" t="e">
        <f t="shared" si="5"/>
        <v>#NAME?</v>
      </c>
      <c r="J23" s="188" t="e">
        <f>_XLL.GL(R23,Period)</f>
        <v>#NAME?</v>
      </c>
      <c r="K23" s="188" t="e">
        <f t="shared" si="7"/>
        <v>#NAME?</v>
      </c>
      <c r="L23" s="188" t="e">
        <f t="shared" si="6"/>
        <v>#NAME?</v>
      </c>
      <c r="M23" s="188"/>
      <c r="N23" s="268"/>
      <c r="O23" s="267"/>
      <c r="P23" s="268"/>
      <c r="Q23" s="268"/>
      <c r="R23" s="177" t="e">
        <f>_XLL.BSPEC(N23,O23,P23,Q23)</f>
        <v>#NAME?</v>
      </c>
    </row>
    <row r="24" spans="3:18" ht="9.75">
      <c r="C24" s="177" t="s">
        <v>53</v>
      </c>
      <c r="G24" s="218" t="e">
        <f t="shared" si="4"/>
        <v>#NAME?</v>
      </c>
      <c r="H24" s="218">
        <f>Staffing!F$238/('Pro Forma IS'!G$20)</f>
        <v>0.033872976321025636</v>
      </c>
      <c r="I24" s="218" t="e">
        <f t="shared" si="5"/>
        <v>#NAME?</v>
      </c>
      <c r="J24" s="188" t="e">
        <f>_XLL.GL(R24,Period)</f>
        <v>#NAME?</v>
      </c>
      <c r="K24" s="188" t="e">
        <f t="shared" si="7"/>
        <v>#NAME?</v>
      </c>
      <c r="L24" s="188" t="e">
        <f t="shared" si="6"/>
        <v>#NAME?</v>
      </c>
      <c r="M24" s="188"/>
      <c r="N24" s="267"/>
      <c r="O24" s="267"/>
      <c r="P24" s="268"/>
      <c r="Q24" s="268"/>
      <c r="R24" s="177" t="e">
        <f>_XLL.BSPEC(N24,O24,P24,Q24)</f>
        <v>#NAME?</v>
      </c>
    </row>
    <row r="25" spans="3:18" ht="9.75">
      <c r="C25" s="177" t="s">
        <v>327</v>
      </c>
      <c r="G25" s="218" t="e">
        <f t="shared" si="4"/>
        <v>#NAME?</v>
      </c>
      <c r="H25" s="218">
        <f>Staffing!F$239/('Pro Forma IS'!G$20)</f>
        <v>0.005736692528214725</v>
      </c>
      <c r="I25" s="218" t="e">
        <f t="shared" si="5"/>
        <v>#NAME?</v>
      </c>
      <c r="J25" s="188" t="e">
        <f>_XLL.GL(R25,Period)</f>
        <v>#NAME?</v>
      </c>
      <c r="K25" s="188" t="e">
        <f t="shared" si="7"/>
        <v>#NAME?</v>
      </c>
      <c r="L25" s="188" t="e">
        <f t="shared" si="6"/>
        <v>#NAME?</v>
      </c>
      <c r="M25" s="188"/>
      <c r="N25" s="267"/>
      <c r="O25" s="267"/>
      <c r="P25" s="268"/>
      <c r="Q25" s="268"/>
      <c r="R25" s="177" t="e">
        <f>_XLL.BSPEC(N25,O25,P25,Q25)</f>
        <v>#NAME?</v>
      </c>
    </row>
    <row r="26" spans="3:18" ht="9.75">
      <c r="C26" s="177" t="s">
        <v>47</v>
      </c>
      <c r="G26" s="218" t="e">
        <f t="shared" si="4"/>
        <v>#NAME?</v>
      </c>
      <c r="H26" s="218">
        <f>Staffing!F$240/('Pro Forma IS'!G$20)</f>
        <v>0.03900603504044259</v>
      </c>
      <c r="I26" s="218" t="e">
        <f t="shared" si="5"/>
        <v>#NAME?</v>
      </c>
      <c r="J26" s="188" t="e">
        <f>_XLL.GL(R26,Period)</f>
        <v>#NAME?</v>
      </c>
      <c r="K26" s="188" t="e">
        <f t="shared" si="7"/>
        <v>#NAME?</v>
      </c>
      <c r="L26" s="188" t="e">
        <f t="shared" si="6"/>
        <v>#NAME?</v>
      </c>
      <c r="M26" s="188"/>
      <c r="N26" s="267"/>
      <c r="O26" s="267"/>
      <c r="P26" s="268"/>
      <c r="Q26" s="268"/>
      <c r="R26" s="177" t="e">
        <f>_XLL.BSPEC(N26,O26,P26,Q26)</f>
        <v>#NAME?</v>
      </c>
    </row>
    <row r="27" spans="3:18" ht="9.75">
      <c r="C27" s="177" t="s">
        <v>54</v>
      </c>
      <c r="G27" s="218" t="e">
        <f t="shared" si="4"/>
        <v>#NAME?</v>
      </c>
      <c r="H27" s="218">
        <f>Staffing!F$241/('Pro Forma IS'!G$20)</f>
        <v>0</v>
      </c>
      <c r="I27" s="218" t="e">
        <f t="shared" si="5"/>
        <v>#NAME?</v>
      </c>
      <c r="J27" s="188" t="e">
        <f>_XLL.GL(R27,Period)</f>
        <v>#NAME?</v>
      </c>
      <c r="K27" s="188" t="e">
        <f t="shared" si="7"/>
        <v>#NAME?</v>
      </c>
      <c r="L27" s="188" t="e">
        <f t="shared" si="6"/>
        <v>#NAME?</v>
      </c>
      <c r="M27" s="188"/>
      <c r="N27" s="267"/>
      <c r="O27" s="267"/>
      <c r="P27" s="268"/>
      <c r="Q27" s="268"/>
      <c r="R27" s="177" t="e">
        <f>_XLL.BSPEC(N27,O27,P27,Q27)</f>
        <v>#NAME?</v>
      </c>
    </row>
    <row r="28" spans="4:17" ht="10.5" thickBot="1">
      <c r="D28" s="193" t="s">
        <v>332</v>
      </c>
      <c r="G28" s="221" t="e">
        <f aca="true" t="shared" si="8" ref="G28:L28">SUM(G19:G27)</f>
        <v>#NAME?</v>
      </c>
      <c r="H28" s="221">
        <f t="shared" si="8"/>
        <v>0.5517082731733409</v>
      </c>
      <c r="I28" s="221" t="e">
        <f t="shared" si="8"/>
        <v>#NAME?</v>
      </c>
      <c r="J28" s="227" t="e">
        <f t="shared" si="8"/>
        <v>#NAME?</v>
      </c>
      <c r="K28" s="227" t="e">
        <f t="shared" si="8"/>
        <v>#NAME?</v>
      </c>
      <c r="L28" s="227" t="e">
        <f t="shared" si="8"/>
        <v>#NAME?</v>
      </c>
      <c r="M28" s="188"/>
      <c r="N28" s="271"/>
      <c r="O28" s="271"/>
      <c r="P28" s="270"/>
      <c r="Q28" s="270"/>
    </row>
    <row r="29" spans="7:17" ht="9.75">
      <c r="G29" s="189"/>
      <c r="H29" s="189"/>
      <c r="I29" s="189"/>
      <c r="M29" s="188"/>
      <c r="N29" s="271"/>
      <c r="O29" s="271"/>
      <c r="P29" s="270"/>
      <c r="Q29" s="270"/>
    </row>
    <row r="30" spans="2:17" ht="9.75">
      <c r="B30" s="177" t="s">
        <v>334</v>
      </c>
      <c r="G30" s="189"/>
      <c r="H30" s="189"/>
      <c r="I30" s="189"/>
      <c r="M30" s="188"/>
      <c r="N30" s="271"/>
      <c r="O30" s="271"/>
      <c r="P30" s="270"/>
      <c r="Q30" s="270"/>
    </row>
    <row r="31" spans="3:18" ht="9.75">
      <c r="C31" s="177" t="str">
        <f>'Patient Related'!B51</f>
        <v>Medications</v>
      </c>
      <c r="G31" s="218" t="e">
        <f aca="true" t="shared" si="9" ref="G31:G43">J31/$J$15</f>
        <v>#NAME?</v>
      </c>
      <c r="H31" s="218">
        <f>('Patient Related'!H15+'Patient Related'!H33+'Patient Related'!H51)/'Pro Forma IS'!G$20</f>
        <v>0.030825461266777116</v>
      </c>
      <c r="I31" s="218" t="e">
        <f aca="true" t="shared" si="10" ref="I31:I43">G31-H31</f>
        <v>#NAME?</v>
      </c>
      <c r="J31" s="188" t="e">
        <f>_XLL.GL(R31,Period)</f>
        <v>#NAME?</v>
      </c>
      <c r="K31" s="188" t="e">
        <f aca="true" t="shared" si="11" ref="K31:K43">H31*J31</f>
        <v>#NAME?</v>
      </c>
      <c r="L31" s="188" t="e">
        <f aca="true" t="shared" si="12" ref="L31:L43">J31-K31</f>
        <v>#NAME?</v>
      </c>
      <c r="M31" s="188"/>
      <c r="N31" s="268"/>
      <c r="O31" s="267"/>
      <c r="P31" s="268"/>
      <c r="Q31" s="268"/>
      <c r="R31" s="177" t="e">
        <f>_XLL.BSPEC(N31,O31,P31,Q31)</f>
        <v>#NAME?</v>
      </c>
    </row>
    <row r="32" spans="3:18" ht="9.75">
      <c r="C32" s="177" t="str">
        <f>'Patient Related'!B52</f>
        <v>Therapies</v>
      </c>
      <c r="G32" s="218" t="e">
        <f t="shared" si="9"/>
        <v>#NAME?</v>
      </c>
      <c r="H32" s="218">
        <f>('Patient Related'!H16+'Patient Related'!H34+'Patient Related'!H52)/'Pro Forma IS'!G$20</f>
        <v>0.0034647818463857485</v>
      </c>
      <c r="I32" s="218" t="e">
        <f t="shared" si="10"/>
        <v>#NAME?</v>
      </c>
      <c r="J32" s="188" t="e">
        <f>_XLL.GL(R32,Period)</f>
        <v>#NAME?</v>
      </c>
      <c r="K32" s="188" t="e">
        <f t="shared" si="11"/>
        <v>#NAME?</v>
      </c>
      <c r="L32" s="188" t="e">
        <f t="shared" si="12"/>
        <v>#NAME?</v>
      </c>
      <c r="M32" s="188"/>
      <c r="N32" s="268"/>
      <c r="O32" s="267"/>
      <c r="P32" s="268"/>
      <c r="Q32" s="268"/>
      <c r="R32" s="177" t="e">
        <f>_XLL.BSPEC(N32,O32,P32,Q32)</f>
        <v>#NAME?</v>
      </c>
    </row>
    <row r="33" spans="3:18" ht="9.75">
      <c r="C33" s="177" t="str">
        <f>'Patient Related'!B53</f>
        <v>Medical Supplies</v>
      </c>
      <c r="G33" s="218" t="e">
        <f t="shared" si="9"/>
        <v>#NAME?</v>
      </c>
      <c r="H33" s="218">
        <f>('Patient Related'!H17+'Patient Related'!H35+'Patient Related'!H53)/'Pro Forma IS'!G$20</f>
        <v>0.014796221408053017</v>
      </c>
      <c r="I33" s="218" t="e">
        <f t="shared" si="10"/>
        <v>#NAME?</v>
      </c>
      <c r="J33" s="188" t="e">
        <f>_XLL.GL(R33,Period)</f>
        <v>#NAME?</v>
      </c>
      <c r="K33" s="188" t="e">
        <f t="shared" si="11"/>
        <v>#NAME?</v>
      </c>
      <c r="L33" s="188" t="e">
        <f t="shared" si="12"/>
        <v>#NAME?</v>
      </c>
      <c r="M33" s="188"/>
      <c r="N33" s="268"/>
      <c r="O33" s="267"/>
      <c r="P33" s="268"/>
      <c r="Q33" s="268"/>
      <c r="R33" s="177" t="e">
        <f>_XLL.BSPEC(N33,O33,P33,Q33)</f>
        <v>#NAME?</v>
      </c>
    </row>
    <row r="34" spans="3:18" ht="9.75">
      <c r="C34" s="177" t="str">
        <f>'Patient Related'!B54</f>
        <v>Lab</v>
      </c>
      <c r="G34" s="218" t="e">
        <f t="shared" si="9"/>
        <v>#NAME?</v>
      </c>
      <c r="H34" s="218">
        <f>('Patient Related'!H18+'Patient Related'!H36+'Patient Related'!H54)/'Pro Forma IS'!G$20</f>
        <v>0.0006165092253355423</v>
      </c>
      <c r="I34" s="218" t="e">
        <f t="shared" si="10"/>
        <v>#NAME?</v>
      </c>
      <c r="J34" s="188" t="e">
        <f>_XLL.GL(R34,Period)</f>
        <v>#NAME?</v>
      </c>
      <c r="K34" s="188" t="e">
        <f t="shared" si="11"/>
        <v>#NAME?</v>
      </c>
      <c r="L34" s="188" t="e">
        <f t="shared" si="12"/>
        <v>#NAME?</v>
      </c>
      <c r="M34" s="188"/>
      <c r="N34" s="268"/>
      <c r="O34" s="267"/>
      <c r="P34" s="268"/>
      <c r="Q34" s="268"/>
      <c r="R34" s="177" t="e">
        <f>_XLL.BSPEC(N34,O34,P34,Q34)</f>
        <v>#NAME?</v>
      </c>
    </row>
    <row r="35" spans="3:18" ht="9.75">
      <c r="C35" s="177" t="str">
        <f>'Patient Related'!B55</f>
        <v>DME</v>
      </c>
      <c r="G35" s="218" t="e">
        <f t="shared" si="9"/>
        <v>#NAME?</v>
      </c>
      <c r="H35" s="218">
        <f>('Patient Related'!H19+'Patient Related'!H37+'Patient Related'!H55)/'Pro Forma IS'!G$20</f>
        <v>0.004315564577348796</v>
      </c>
      <c r="I35" s="218" t="e">
        <f t="shared" si="10"/>
        <v>#NAME?</v>
      </c>
      <c r="J35" s="188" t="e">
        <f>_XLL.GL(R35,Period)</f>
        <v>#NAME?</v>
      </c>
      <c r="K35" s="188" t="e">
        <f t="shared" si="11"/>
        <v>#NAME?</v>
      </c>
      <c r="L35" s="188" t="e">
        <f t="shared" si="12"/>
        <v>#NAME?</v>
      </c>
      <c r="M35" s="188"/>
      <c r="N35" s="268"/>
      <c r="O35" s="267"/>
      <c r="P35" s="268"/>
      <c r="Q35" s="268"/>
      <c r="R35" s="177" t="e">
        <f>_XLL.BSPEC(N35,O35,P35,Q35)</f>
        <v>#NAME?</v>
      </c>
    </row>
    <row r="36" spans="3:18" ht="9.75">
      <c r="C36" s="177" t="str">
        <f>'Patient Related'!B56</f>
        <v>Linen</v>
      </c>
      <c r="G36" s="218" t="e">
        <f t="shared" si="9"/>
        <v>#NAME?</v>
      </c>
      <c r="H36" s="218">
        <f>('Patient Related'!H20+'Patient Related'!H38+'Patient Related'!H56)/'Pro Forma IS'!G$20</f>
        <v>0.007829667161761387</v>
      </c>
      <c r="I36" s="218" t="e">
        <f t="shared" si="10"/>
        <v>#NAME?</v>
      </c>
      <c r="J36" s="188" t="e">
        <f>_XLL.GL(R36,Period)</f>
        <v>#NAME?</v>
      </c>
      <c r="K36" s="188" t="e">
        <f t="shared" si="11"/>
        <v>#NAME?</v>
      </c>
      <c r="L36" s="188" t="e">
        <f t="shared" si="12"/>
        <v>#NAME?</v>
      </c>
      <c r="M36" s="188"/>
      <c r="N36" s="268"/>
      <c r="O36" s="267"/>
      <c r="P36" s="268"/>
      <c r="Q36" s="268"/>
      <c r="R36" s="177" t="e">
        <f>_XLL.BSPEC(N36,O36,P36,Q36)</f>
        <v>#NAME?</v>
      </c>
    </row>
    <row r="37" spans="3:18" ht="9.75">
      <c r="C37" s="177" t="str">
        <f>'Patient Related'!B57</f>
        <v>Ambulance</v>
      </c>
      <c r="G37" s="218" t="e">
        <f t="shared" si="9"/>
        <v>#NAME?</v>
      </c>
      <c r="H37" s="218">
        <f>('Patient Related'!H21+'Patient Related'!H39+'Patient Related'!H57)/'Pro Forma IS'!G$20</f>
        <v>0.00844617638709693</v>
      </c>
      <c r="I37" s="218" t="e">
        <f t="shared" si="10"/>
        <v>#NAME?</v>
      </c>
      <c r="J37" s="188" t="e">
        <f>_XLL.GL(R37,Period)</f>
        <v>#NAME?</v>
      </c>
      <c r="K37" s="188" t="e">
        <f t="shared" si="11"/>
        <v>#NAME?</v>
      </c>
      <c r="L37" s="188" t="e">
        <f t="shared" si="12"/>
        <v>#NAME?</v>
      </c>
      <c r="M37" s="188"/>
      <c r="N37" s="268"/>
      <c r="O37" s="267"/>
      <c r="P37" s="268"/>
      <c r="Q37" s="268"/>
      <c r="R37" s="177" t="e">
        <f>_XLL.BSPEC(N37,O37,P37,Q37)</f>
        <v>#NAME?</v>
      </c>
    </row>
    <row r="38" spans="3:18" ht="9.75">
      <c r="C38" s="177" t="str">
        <f>'Patient Related'!B58</f>
        <v>Bio Hazardous</v>
      </c>
      <c r="G38" s="218" t="e">
        <f t="shared" si="9"/>
        <v>#NAME?</v>
      </c>
      <c r="H38" s="218">
        <f>('Patient Related'!H22+'Patient Related'!H40+'Patient Related'!H58)/'Pro Forma IS'!G$20</f>
        <v>0.0010961534026465943</v>
      </c>
      <c r="I38" s="218" t="e">
        <f t="shared" si="10"/>
        <v>#NAME?</v>
      </c>
      <c r="J38" s="188" t="e">
        <f>_XLL.GL(R38,Period)</f>
        <v>#NAME?</v>
      </c>
      <c r="K38" s="188" t="e">
        <f t="shared" si="11"/>
        <v>#NAME?</v>
      </c>
      <c r="L38" s="188" t="e">
        <f t="shared" si="12"/>
        <v>#NAME?</v>
      </c>
      <c r="M38" s="188"/>
      <c r="N38" s="268"/>
      <c r="O38" s="267"/>
      <c r="P38" s="268"/>
      <c r="Q38" s="268"/>
      <c r="R38" s="177" t="e">
        <f>_XLL.BSPEC(N38,O38,P38,Q38)</f>
        <v>#NAME?</v>
      </c>
    </row>
    <row r="39" spans="3:18" ht="9.75">
      <c r="C39" s="177" t="str">
        <f>'Patient Related'!B59</f>
        <v>Dietary</v>
      </c>
      <c r="G39" s="218" t="e">
        <f t="shared" si="9"/>
        <v>#NAME?</v>
      </c>
      <c r="H39" s="218">
        <f>('Patient Related'!H23+'Patient Related'!H41+'Patient Related'!H59)/'Pro Forma IS'!G$20</f>
        <v>0.002157782288674398</v>
      </c>
      <c r="I39" s="218" t="e">
        <f t="shared" si="10"/>
        <v>#NAME?</v>
      </c>
      <c r="J39" s="188" t="e">
        <f>_XLL.GL(R39,Period)</f>
        <v>#NAME?</v>
      </c>
      <c r="K39" s="188" t="e">
        <f t="shared" si="11"/>
        <v>#NAME?</v>
      </c>
      <c r="L39" s="188" t="e">
        <f t="shared" si="12"/>
        <v>#NAME?</v>
      </c>
      <c r="M39" s="188"/>
      <c r="N39" s="268"/>
      <c r="O39" s="267"/>
      <c r="P39" s="268"/>
      <c r="Q39" s="268"/>
      <c r="R39" s="177" t="e">
        <f>_XLL.BSPEC(N39,O39,P39,Q39)</f>
        <v>#NAME?</v>
      </c>
    </row>
    <row r="40" spans="3:18" ht="9.75">
      <c r="C40" s="177" t="str">
        <f>'Patient Related'!B60</f>
        <v>Oxygen</v>
      </c>
      <c r="G40" s="218" t="e">
        <f t="shared" si="9"/>
        <v>#NAME?</v>
      </c>
      <c r="H40" s="218">
        <f>('Patient Related'!H24+'Patient Related'!H42+'Patient Related'!H60)/'Pro Forma IS'!G$20</f>
        <v>0.004315564577348796</v>
      </c>
      <c r="I40" s="218" t="e">
        <f t="shared" si="10"/>
        <v>#NAME?</v>
      </c>
      <c r="J40" s="188" t="e">
        <f>_XLL.GL(R40,Period)</f>
        <v>#NAME?</v>
      </c>
      <c r="K40" s="188" t="e">
        <f t="shared" si="11"/>
        <v>#NAME?</v>
      </c>
      <c r="L40" s="188" t="e">
        <f t="shared" si="12"/>
        <v>#NAME?</v>
      </c>
      <c r="M40" s="188"/>
      <c r="N40" s="268"/>
      <c r="O40" s="267"/>
      <c r="P40" s="268"/>
      <c r="Q40" s="268"/>
      <c r="R40" s="177" t="e">
        <f>_XLL.BSPEC(N40,O40,P40,Q40)</f>
        <v>#NAME?</v>
      </c>
    </row>
    <row r="41" spans="3:18" ht="9.75">
      <c r="C41" s="177" t="str">
        <f>'Patient Related'!B61</f>
        <v>Food</v>
      </c>
      <c r="G41" s="218" t="e">
        <f t="shared" si="9"/>
        <v>#NAME?</v>
      </c>
      <c r="H41" s="218">
        <f>('Patient Related'!H25+'Patient Related'!H43+'Patient Related'!H61)/'Pro Forma IS'!G$20</f>
        <v>0.0160292398587241</v>
      </c>
      <c r="I41" s="218" t="e">
        <f t="shared" si="10"/>
        <v>#NAME?</v>
      </c>
      <c r="J41" s="188" t="e">
        <f>_XLL.GL(R41,Period)</f>
        <v>#NAME?</v>
      </c>
      <c r="K41" s="188" t="e">
        <f t="shared" si="11"/>
        <v>#NAME?</v>
      </c>
      <c r="L41" s="188" t="e">
        <f t="shared" si="12"/>
        <v>#NAME?</v>
      </c>
      <c r="M41" s="188"/>
      <c r="N41" s="267"/>
      <c r="O41" s="267"/>
      <c r="P41" s="268"/>
      <c r="Q41" s="268"/>
      <c r="R41" s="177" t="e">
        <f>_XLL.BSPEC(N41,O41,P41,Q41)</f>
        <v>#NAME?</v>
      </c>
    </row>
    <row r="42" spans="3:18" ht="9.75">
      <c r="C42" s="177" t="str">
        <f>'Patient Related'!B62</f>
        <v>Imaging</v>
      </c>
      <c r="G42" s="218" t="e">
        <f t="shared" si="9"/>
        <v>#NAME?</v>
      </c>
      <c r="H42" s="218">
        <f>('Patient Related'!H26+'Patient Related'!H44+'Patient Related'!H62)/'Pro Forma IS'!G$20</f>
        <v>0.0006165092253355423</v>
      </c>
      <c r="I42" s="218" t="e">
        <f t="shared" si="10"/>
        <v>#NAME?</v>
      </c>
      <c r="J42" s="188" t="e">
        <f>_XLL.GL(R42,Period)</f>
        <v>#NAME?</v>
      </c>
      <c r="K42" s="188" t="e">
        <f t="shared" si="11"/>
        <v>#NAME?</v>
      </c>
      <c r="L42" s="188" t="e">
        <f t="shared" si="12"/>
        <v>#NAME?</v>
      </c>
      <c r="M42" s="188"/>
      <c r="N42" s="267"/>
      <c r="O42" s="267"/>
      <c r="P42" s="268"/>
      <c r="Q42" s="268"/>
      <c r="R42" s="177" t="e">
        <f>_XLL.BSPEC(N42,O42,P42,Q42)</f>
        <v>#NAME?</v>
      </c>
    </row>
    <row r="43" spans="3:18" ht="9.75">
      <c r="C43" s="177" t="str">
        <f>'Patient Related'!B63</f>
        <v>Other</v>
      </c>
      <c r="G43" s="218" t="e">
        <f t="shared" si="9"/>
        <v>#NAME?</v>
      </c>
      <c r="H43" s="218">
        <f>('Patient Related'!H27+'Patient Related'!H45+'Patient Related'!H63)/'Pro Forma IS'!G$20</f>
        <v>0.004007309964681025</v>
      </c>
      <c r="I43" s="218" t="e">
        <f t="shared" si="10"/>
        <v>#NAME?</v>
      </c>
      <c r="J43" s="188" t="e">
        <f>_XLL.GL(R43,Period)</f>
        <v>#NAME?</v>
      </c>
      <c r="K43" s="188" t="e">
        <f t="shared" si="11"/>
        <v>#NAME?</v>
      </c>
      <c r="L43" s="188" t="e">
        <f t="shared" si="12"/>
        <v>#NAME?</v>
      </c>
      <c r="M43" s="188"/>
      <c r="N43" s="267"/>
      <c r="O43" s="267"/>
      <c r="P43" s="268"/>
      <c r="Q43" s="268"/>
      <c r="R43" s="177" t="e">
        <f>_XLL.BSPEC(N43,O43,P43,Q43)</f>
        <v>#NAME?</v>
      </c>
    </row>
    <row r="44" spans="4:17" ht="10.5" thickBot="1">
      <c r="D44" s="193" t="s">
        <v>335</v>
      </c>
      <c r="G44" s="221" t="e">
        <f aca="true" t="shared" si="13" ref="G44:L44">SUM(G31:G43)</f>
        <v>#NAME?</v>
      </c>
      <c r="H44" s="221">
        <f t="shared" si="13"/>
        <v>0.09851694119016903</v>
      </c>
      <c r="I44" s="221" t="e">
        <f t="shared" si="13"/>
        <v>#NAME?</v>
      </c>
      <c r="J44" s="227" t="e">
        <f t="shared" si="13"/>
        <v>#NAME?</v>
      </c>
      <c r="K44" s="227" t="e">
        <f t="shared" si="13"/>
        <v>#NAME?</v>
      </c>
      <c r="L44" s="227" t="e">
        <f t="shared" si="13"/>
        <v>#NAME?</v>
      </c>
      <c r="M44" s="188"/>
      <c r="N44" s="271"/>
      <c r="O44" s="271"/>
      <c r="P44" s="270"/>
      <c r="Q44" s="270"/>
    </row>
    <row r="45" spans="3:17" ht="10.5">
      <c r="C45" s="193"/>
      <c r="G45" s="223"/>
      <c r="H45" s="223"/>
      <c r="I45" s="223"/>
      <c r="J45" s="229"/>
      <c r="K45" s="229"/>
      <c r="L45" s="229"/>
      <c r="M45" s="188"/>
      <c r="N45" s="271"/>
      <c r="O45" s="271"/>
      <c r="P45" s="270"/>
      <c r="Q45" s="270"/>
    </row>
    <row r="46" spans="3:17" ht="10.5">
      <c r="C46" s="193" t="s">
        <v>396</v>
      </c>
      <c r="G46" s="223" t="e">
        <f>G28+G44</f>
        <v>#NAME?</v>
      </c>
      <c r="H46" s="223">
        <f>H28+H44</f>
        <v>0.65022521436351</v>
      </c>
      <c r="I46" s="223" t="e">
        <f>G46-H46</f>
        <v>#NAME?</v>
      </c>
      <c r="J46" s="223" t="e">
        <f>J28+J44</f>
        <v>#NAME?</v>
      </c>
      <c r="K46" s="223" t="e">
        <f>H46*J46</f>
        <v>#NAME?</v>
      </c>
      <c r="L46" s="229" t="e">
        <f>J46-K46</f>
        <v>#NAME?</v>
      </c>
      <c r="M46" s="188"/>
      <c r="N46" s="271"/>
      <c r="O46" s="271"/>
      <c r="P46" s="270"/>
      <c r="Q46" s="270"/>
    </row>
    <row r="47" spans="3:17" ht="10.5">
      <c r="C47" s="193"/>
      <c r="G47" s="223"/>
      <c r="H47" s="223"/>
      <c r="I47" s="223"/>
      <c r="J47" s="223"/>
      <c r="K47" s="223"/>
      <c r="L47" s="229"/>
      <c r="M47" s="188"/>
      <c r="N47" s="271"/>
      <c r="O47" s="271"/>
      <c r="P47" s="270"/>
      <c r="Q47" s="270"/>
    </row>
    <row r="48" spans="2:17" ht="10.5" thickBot="1">
      <c r="B48" s="176" t="s">
        <v>182</v>
      </c>
      <c r="G48" s="224" t="e">
        <f aca="true" t="shared" si="14" ref="G48:L48">G15-G46</f>
        <v>#NAME?</v>
      </c>
      <c r="H48" s="224">
        <f t="shared" si="14"/>
        <v>0.34977478563649</v>
      </c>
      <c r="I48" s="224" t="e">
        <f t="shared" si="14"/>
        <v>#NAME?</v>
      </c>
      <c r="J48" s="224" t="e">
        <f t="shared" si="14"/>
        <v>#NAME?</v>
      </c>
      <c r="K48" s="224" t="e">
        <f t="shared" si="14"/>
        <v>#NAME?</v>
      </c>
      <c r="L48" s="224" t="e">
        <f t="shared" si="14"/>
        <v>#NAME?</v>
      </c>
      <c r="M48" s="188"/>
      <c r="N48" s="271"/>
      <c r="O48" s="271"/>
      <c r="P48" s="270"/>
      <c r="Q48" s="270"/>
    </row>
    <row r="49" spans="7:17" ht="9.75">
      <c r="G49" s="189"/>
      <c r="H49" s="189"/>
      <c r="I49" s="189"/>
      <c r="M49" s="188"/>
      <c r="N49" s="271"/>
      <c r="O49" s="271"/>
      <c r="P49" s="270"/>
      <c r="Q49" s="270"/>
    </row>
    <row r="50" spans="2:17" ht="9.75">
      <c r="B50" s="177" t="s">
        <v>16</v>
      </c>
      <c r="G50" s="189"/>
      <c r="H50" s="189"/>
      <c r="I50" s="189"/>
      <c r="M50" s="188"/>
      <c r="N50" s="271"/>
      <c r="O50" s="271"/>
      <c r="P50" s="270"/>
      <c r="Q50" s="270"/>
    </row>
    <row r="51" spans="3:18" ht="9.75">
      <c r="C51" s="177" t="str">
        <f>Operations!B14</f>
        <v>Utilities (per sq. ft.)</v>
      </c>
      <c r="G51" s="218" t="e">
        <f aca="true" t="shared" si="15" ref="G51:G66">J51/$J$15</f>
        <v>#NAME?</v>
      </c>
      <c r="H51" s="218">
        <f>Operations!F14/'Pro Forma IS'!G$20</f>
        <v>0.013266848585053764</v>
      </c>
      <c r="I51" s="218" t="e">
        <f aca="true" t="shared" si="16" ref="I51:I66">G51-H51</f>
        <v>#NAME?</v>
      </c>
      <c r="J51" s="188" t="e">
        <f>_XLL.GL(R51,Period)</f>
        <v>#NAME?</v>
      </c>
      <c r="K51" s="188" t="e">
        <f aca="true" t="shared" si="17" ref="K51:K66">H51*J51</f>
        <v>#NAME?</v>
      </c>
      <c r="L51" s="188" t="e">
        <f aca="true" t="shared" si="18" ref="L51:L66">J51-K51</f>
        <v>#NAME?</v>
      </c>
      <c r="M51" s="188"/>
      <c r="N51" s="267"/>
      <c r="O51" s="267"/>
      <c r="P51" s="268"/>
      <c r="Q51" s="268"/>
      <c r="R51" s="177" t="e">
        <f>_XLL.BSPEC(N51,O51,P51,Q51)</f>
        <v>#NAME?</v>
      </c>
    </row>
    <row r="52" spans="3:18" ht="9.75">
      <c r="C52" s="177" t="str">
        <f>Operations!B15</f>
        <v>Housekeeping &amp; Janitorial (sq. ft)</v>
      </c>
      <c r="G52" s="218" t="e">
        <f t="shared" si="15"/>
        <v>#NAME?</v>
      </c>
      <c r="H52" s="218">
        <f>Operations!F15/'Pro Forma IS'!G$20</f>
        <v>0.0353782628934767</v>
      </c>
      <c r="I52" s="218" t="e">
        <f t="shared" si="16"/>
        <v>#NAME?</v>
      </c>
      <c r="J52" s="188" t="e">
        <f>_XLL.GL(R52,Period)</f>
        <v>#NAME?</v>
      </c>
      <c r="K52" s="188" t="e">
        <f t="shared" si="17"/>
        <v>#NAME?</v>
      </c>
      <c r="L52" s="188" t="e">
        <f t="shared" si="18"/>
        <v>#NAME?</v>
      </c>
      <c r="M52" s="188"/>
      <c r="N52" s="267"/>
      <c r="O52" s="267"/>
      <c r="P52" s="268"/>
      <c r="Q52" s="268"/>
      <c r="R52" s="177" t="e">
        <f>_XLL.BSPEC(N52,O52,P52,Q52)</f>
        <v>#NAME?</v>
      </c>
    </row>
    <row r="53" spans="3:18" ht="9.75">
      <c r="C53" s="177" t="str">
        <f>Operations!B16</f>
        <v>Lease of space (sq. ft)</v>
      </c>
      <c r="G53" s="218" t="e">
        <f t="shared" si="15"/>
        <v>#NAME?</v>
      </c>
      <c r="H53" s="218">
        <f>Operations!F16/'Pro Forma IS'!G$20</f>
        <v>0</v>
      </c>
      <c r="I53" s="218" t="e">
        <f t="shared" si="16"/>
        <v>#NAME?</v>
      </c>
      <c r="J53" s="188" t="e">
        <f>_XLL.GL(R53,Period)</f>
        <v>#NAME?</v>
      </c>
      <c r="K53" s="188" t="e">
        <f t="shared" si="17"/>
        <v>#NAME?</v>
      </c>
      <c r="L53" s="188" t="e">
        <f t="shared" si="18"/>
        <v>#NAME?</v>
      </c>
      <c r="M53" s="188"/>
      <c r="N53" s="267"/>
      <c r="O53" s="267"/>
      <c r="P53" s="268"/>
      <c r="Q53" s="268"/>
      <c r="R53" s="177" t="e">
        <f>_XLL.BSPEC(N53,O53,P53,Q53)</f>
        <v>#NAME?</v>
      </c>
    </row>
    <row r="54" spans="3:18" ht="9.75">
      <c r="C54" s="177" t="str">
        <f>Operations!B17</f>
        <v>Building Maintenance (sq. ft.)</v>
      </c>
      <c r="G54" s="218" t="e">
        <f t="shared" si="15"/>
        <v>#NAME?</v>
      </c>
      <c r="H54" s="218">
        <f>Operations!F17/'Pro Forma IS'!G$20</f>
        <v>0.02211141430842294</v>
      </c>
      <c r="I54" s="218" t="e">
        <f t="shared" si="16"/>
        <v>#NAME?</v>
      </c>
      <c r="J54" s="188" t="e">
        <f>_XLL.GL(R54,Period)</f>
        <v>#NAME?</v>
      </c>
      <c r="K54" s="188" t="e">
        <f t="shared" si="17"/>
        <v>#NAME?</v>
      </c>
      <c r="L54" s="188" t="e">
        <f t="shared" si="18"/>
        <v>#NAME?</v>
      </c>
      <c r="M54" s="188"/>
      <c r="N54" s="267"/>
      <c r="O54" s="267"/>
      <c r="P54" s="268"/>
      <c r="Q54" s="268"/>
      <c r="R54" s="177" t="e">
        <f>_XLL.BSPEC(N54,O54,P54,Q54)</f>
        <v>#NAME?</v>
      </c>
    </row>
    <row r="55" spans="3:18" ht="9.75">
      <c r="C55" s="177" t="str">
        <f>Operations!B18</f>
        <v>Dietary (pt. day)*</v>
      </c>
      <c r="G55" s="218" t="e">
        <f t="shared" si="15"/>
        <v>#NAME?</v>
      </c>
      <c r="H55" s="218">
        <f>Operations!F18/'Pro Forma IS'!G$20</f>
        <v>0</v>
      </c>
      <c r="I55" s="218" t="e">
        <f t="shared" si="16"/>
        <v>#NAME?</v>
      </c>
      <c r="J55" s="188" t="e">
        <f>_XLL.GL(R55,Period)</f>
        <v>#NAME?</v>
      </c>
      <c r="K55" s="188" t="e">
        <f t="shared" si="17"/>
        <v>#NAME?</v>
      </c>
      <c r="L55" s="188" t="e">
        <f t="shared" si="18"/>
        <v>#NAME?</v>
      </c>
      <c r="M55" s="188"/>
      <c r="N55" s="267"/>
      <c r="O55" s="267"/>
      <c r="P55" s="268"/>
      <c r="Q55" s="268"/>
      <c r="R55" s="177" t="e">
        <f>_XLL.BSPEC(N55,O55,P55,Q55)</f>
        <v>#NAME?</v>
      </c>
    </row>
    <row r="56" spans="3:18" ht="9.75">
      <c r="C56" s="177" t="str">
        <f>Operations!B19</f>
        <v>Telephone (pt. day)</v>
      </c>
      <c r="G56" s="218" t="e">
        <f t="shared" si="15"/>
        <v>#NAME?</v>
      </c>
      <c r="H56" s="218">
        <f>Operations!F19/'Pro Forma IS'!G$20</f>
        <v>0.002017666555643593</v>
      </c>
      <c r="I56" s="218" t="e">
        <f t="shared" si="16"/>
        <v>#NAME?</v>
      </c>
      <c r="J56" s="188" t="e">
        <f>_XLL.GL(R56,Period)</f>
        <v>#NAME?</v>
      </c>
      <c r="K56" s="188" t="e">
        <f t="shared" si="17"/>
        <v>#NAME?</v>
      </c>
      <c r="L56" s="188" t="e">
        <f t="shared" si="18"/>
        <v>#NAME?</v>
      </c>
      <c r="M56" s="188"/>
      <c r="N56" s="267"/>
      <c r="O56" s="267"/>
      <c r="P56" s="268"/>
      <c r="Q56" s="268"/>
      <c r="R56" s="177" t="e">
        <f>_XLL.BSPEC(N56,O56,P56,Q56)</f>
        <v>#NAME?</v>
      </c>
    </row>
    <row r="57" spans="3:18" ht="9.75">
      <c r="C57" s="177" t="str">
        <f>Operations!B20</f>
        <v>Other (pt. day)</v>
      </c>
      <c r="G57" s="218" t="e">
        <f t="shared" si="15"/>
        <v>#NAME?</v>
      </c>
      <c r="H57" s="218">
        <f>Operations!F20/'Pro Forma IS'!G$20</f>
        <v>0</v>
      </c>
      <c r="I57" s="218" t="e">
        <f t="shared" si="16"/>
        <v>#NAME?</v>
      </c>
      <c r="J57" s="188" t="e">
        <f>_XLL.GL(R57,Period)</f>
        <v>#NAME?</v>
      </c>
      <c r="K57" s="188" t="e">
        <f t="shared" si="17"/>
        <v>#NAME?</v>
      </c>
      <c r="L57" s="188" t="e">
        <f t="shared" si="18"/>
        <v>#NAME?</v>
      </c>
      <c r="M57" s="188"/>
      <c r="N57" s="267"/>
      <c r="O57" s="267"/>
      <c r="P57" s="268"/>
      <c r="Q57" s="268"/>
      <c r="R57" s="177" t="e">
        <f>_XLL.BSPEC(N57,O57,P57,Q57)</f>
        <v>#NAME?</v>
      </c>
    </row>
    <row r="58" spans="3:18" ht="9.75">
      <c r="C58" s="177" t="str">
        <f>Operations!B21</f>
        <v>Interest Expense</v>
      </c>
      <c r="G58" s="218" t="e">
        <f t="shared" si="15"/>
        <v>#NAME?</v>
      </c>
      <c r="H58" s="218">
        <f>Operations!F21/'Pro Forma IS'!G$20</f>
        <v>0</v>
      </c>
      <c r="I58" s="218" t="e">
        <f t="shared" si="16"/>
        <v>#NAME?</v>
      </c>
      <c r="J58" s="188" t="e">
        <f>_XLL.GL(R58,Period)</f>
        <v>#NAME?</v>
      </c>
      <c r="K58" s="188" t="e">
        <f t="shared" si="17"/>
        <v>#NAME?</v>
      </c>
      <c r="L58" s="188" t="e">
        <f t="shared" si="18"/>
        <v>#NAME?</v>
      </c>
      <c r="M58" s="188"/>
      <c r="N58" s="267"/>
      <c r="O58" s="267"/>
      <c r="P58" s="268"/>
      <c r="Q58" s="268"/>
      <c r="R58" s="177" t="e">
        <f>_XLL.BSPEC(N58,O58,P58,Q58)</f>
        <v>#NAME?</v>
      </c>
    </row>
    <row r="59" spans="3:18" ht="9.75">
      <c r="C59" s="177" t="str">
        <f>Operations!B22</f>
        <v>Secondary Loan</v>
      </c>
      <c r="G59" s="218" t="e">
        <f t="shared" si="15"/>
        <v>#NAME?</v>
      </c>
      <c r="H59" s="218">
        <f>Operations!F22/'Pro Forma IS'!G$20</f>
        <v>0</v>
      </c>
      <c r="I59" s="218" t="e">
        <f t="shared" si="16"/>
        <v>#NAME?</v>
      </c>
      <c r="J59" s="188" t="e">
        <f>_XLL.GL(R59,Period)</f>
        <v>#NAME?</v>
      </c>
      <c r="K59" s="188" t="e">
        <f t="shared" si="17"/>
        <v>#NAME?</v>
      </c>
      <c r="L59" s="188" t="e">
        <f t="shared" si="18"/>
        <v>#NAME?</v>
      </c>
      <c r="M59" s="188"/>
      <c r="N59" s="267"/>
      <c r="O59" s="267"/>
      <c r="P59" s="268"/>
      <c r="Q59" s="268"/>
      <c r="R59" s="177" t="e">
        <f>_XLL.BSPEC(N59,O59,P59,Q59)</f>
        <v>#NAME?</v>
      </c>
    </row>
    <row r="60" spans="3:18" ht="9.75">
      <c r="C60" s="177" t="str">
        <f>Operations!B23</f>
        <v>Landscaping &amp; Snow Removal</v>
      </c>
      <c r="G60" s="218" t="e">
        <f t="shared" si="15"/>
        <v>#NAME?</v>
      </c>
      <c r="H60" s="218">
        <f>Operations!F23/'Pro Forma IS'!G$20</f>
        <v>0.007677574412646854</v>
      </c>
      <c r="I60" s="218" t="e">
        <f t="shared" si="16"/>
        <v>#NAME?</v>
      </c>
      <c r="J60" s="188" t="e">
        <f>_XLL.GL(R60,Period)</f>
        <v>#NAME?</v>
      </c>
      <c r="K60" s="188" t="e">
        <f t="shared" si="17"/>
        <v>#NAME?</v>
      </c>
      <c r="L60" s="188" t="e">
        <f t="shared" si="18"/>
        <v>#NAME?</v>
      </c>
      <c r="M60" s="188"/>
      <c r="N60" s="267"/>
      <c r="O60" s="267"/>
      <c r="P60" s="268"/>
      <c r="Q60" s="268"/>
      <c r="R60" s="177" t="e">
        <f>_XLL.BSPEC(N60,O60,P60,Q60)</f>
        <v>#NAME?</v>
      </c>
    </row>
    <row r="61" spans="3:18" ht="9.75">
      <c r="C61" s="177" t="str">
        <f>Operations!B24</f>
        <v>Room Rental (use if renting beds)</v>
      </c>
      <c r="G61" s="218" t="e">
        <f t="shared" si="15"/>
        <v>#NAME?</v>
      </c>
      <c r="H61" s="218">
        <f>Operations!F24/'Pro Forma IS'!G$20</f>
        <v>0</v>
      </c>
      <c r="I61" s="218" t="e">
        <f t="shared" si="16"/>
        <v>#NAME?</v>
      </c>
      <c r="J61" s="188" t="e">
        <f>_XLL.GL(R61,Period)</f>
        <v>#NAME?</v>
      </c>
      <c r="K61" s="188" t="e">
        <f t="shared" si="17"/>
        <v>#NAME?</v>
      </c>
      <c r="L61" s="188" t="e">
        <f t="shared" si="18"/>
        <v>#NAME?</v>
      </c>
      <c r="M61" s="188"/>
      <c r="N61" s="267"/>
      <c r="O61" s="267"/>
      <c r="P61" s="268"/>
      <c r="Q61" s="268"/>
      <c r="R61" s="177" t="e">
        <f>_XLL.BSPEC(N61,O61,P61,Q61)</f>
        <v>#NAME?</v>
      </c>
    </row>
    <row r="62" spans="3:18" ht="9.75">
      <c r="C62" s="177" t="str">
        <f>Operations!B25</f>
        <v>Additional Insurance</v>
      </c>
      <c r="G62" s="218" t="e">
        <f t="shared" si="15"/>
        <v>#NAME?</v>
      </c>
      <c r="H62" s="218">
        <f>Operations!F25/'Pro Forma IS'!G$20</f>
        <v>0.0036852357180704896</v>
      </c>
      <c r="I62" s="218" t="e">
        <f t="shared" si="16"/>
        <v>#NAME?</v>
      </c>
      <c r="J62" s="188" t="e">
        <f>_XLL.GL(R62,Period)</f>
        <v>#NAME?</v>
      </c>
      <c r="K62" s="188" t="e">
        <f t="shared" si="17"/>
        <v>#NAME?</v>
      </c>
      <c r="L62" s="188" t="e">
        <f t="shared" si="18"/>
        <v>#NAME?</v>
      </c>
      <c r="M62" s="188"/>
      <c r="N62" s="267"/>
      <c r="O62" s="267"/>
      <c r="P62" s="268"/>
      <c r="Q62" s="268"/>
      <c r="R62" s="177" t="e">
        <f>_XLL.BSPEC(N62,O62,P62,Q62)</f>
        <v>#NAME?</v>
      </c>
    </row>
    <row r="63" spans="3:18" ht="9.75">
      <c r="C63" s="177" t="str">
        <f>Operations!B26</f>
        <v>Computer (PCs, lines, software)</v>
      </c>
      <c r="G63" s="218" t="e">
        <f t="shared" si="15"/>
        <v>#NAME?</v>
      </c>
      <c r="H63" s="218">
        <f>Operations!F26/'Pro Forma IS'!G$20</f>
        <v>0.006142059530117483</v>
      </c>
      <c r="I63" s="218" t="e">
        <f t="shared" si="16"/>
        <v>#NAME?</v>
      </c>
      <c r="J63" s="188" t="e">
        <f>_XLL.GL(R63,Period)</f>
        <v>#NAME?</v>
      </c>
      <c r="K63" s="188" t="e">
        <f t="shared" si="17"/>
        <v>#NAME?</v>
      </c>
      <c r="L63" s="188" t="e">
        <f t="shared" si="18"/>
        <v>#NAME?</v>
      </c>
      <c r="M63" s="188"/>
      <c r="N63" s="267"/>
      <c r="O63" s="267"/>
      <c r="P63" s="268"/>
      <c r="Q63" s="268"/>
      <c r="R63" s="177" t="e">
        <f>_XLL.BSPEC(N63,O63,P63,Q63)</f>
        <v>#NAME?</v>
      </c>
    </row>
    <row r="64" spans="3:18" ht="9.75">
      <c r="C64" s="177" t="str">
        <f>Operations!B27</f>
        <v>spare</v>
      </c>
      <c r="G64" s="218" t="e">
        <f t="shared" si="15"/>
        <v>#NAME?</v>
      </c>
      <c r="H64" s="218">
        <f>Operations!F27/'Pro Forma IS'!G$20</f>
        <v>0</v>
      </c>
      <c r="I64" s="218" t="e">
        <f t="shared" si="16"/>
        <v>#NAME?</v>
      </c>
      <c r="J64" s="188" t="e">
        <f>_XLL.GL(R64,Period)</f>
        <v>#NAME?</v>
      </c>
      <c r="K64" s="188" t="e">
        <f t="shared" si="17"/>
        <v>#NAME?</v>
      </c>
      <c r="L64" s="188" t="e">
        <f t="shared" si="18"/>
        <v>#NAME?</v>
      </c>
      <c r="M64" s="188"/>
      <c r="N64" s="267"/>
      <c r="O64" s="267"/>
      <c r="P64" s="268"/>
      <c r="Q64" s="268"/>
      <c r="R64" s="177" t="e">
        <f>_XLL.BSPEC(N64,O64,P64,Q64)</f>
        <v>#NAME?</v>
      </c>
    </row>
    <row r="65" spans="3:18" ht="9.75">
      <c r="C65" s="177" t="str">
        <f>Operations!B28</f>
        <v>Contingency</v>
      </c>
      <c r="G65" s="218" t="e">
        <f t="shared" si="15"/>
        <v>#NAME?</v>
      </c>
      <c r="H65" s="218">
        <f>Operations!F28/'Pro Forma IS'!G$20</f>
        <v>0.02303272323794056</v>
      </c>
      <c r="I65" s="218" t="e">
        <f t="shared" si="16"/>
        <v>#NAME?</v>
      </c>
      <c r="J65" s="188" t="e">
        <f>_XLL.GL(R65,Period)</f>
        <v>#NAME?</v>
      </c>
      <c r="K65" s="188" t="e">
        <f t="shared" si="17"/>
        <v>#NAME?</v>
      </c>
      <c r="L65" s="188" t="e">
        <f t="shared" si="18"/>
        <v>#NAME?</v>
      </c>
      <c r="M65" s="188"/>
      <c r="N65" s="267"/>
      <c r="O65" s="267"/>
      <c r="P65" s="268"/>
      <c r="Q65" s="268"/>
      <c r="R65" s="177" t="e">
        <f>_XLL.BSPEC(N65,O65,P65,Q65)</f>
        <v>#NAME?</v>
      </c>
    </row>
    <row r="66" spans="3:18" ht="9.75">
      <c r="C66" s="177" t="str">
        <f>Operations!B29</f>
        <v>Miscellaneous and Adminstrative</v>
      </c>
      <c r="G66" s="218" t="e">
        <f t="shared" si="15"/>
        <v>#NAME?</v>
      </c>
      <c r="H66" s="218">
        <f>Operations!F29/'Pro Forma IS'!G$20</f>
        <v>0.030710297650587415</v>
      </c>
      <c r="I66" s="218" t="e">
        <f t="shared" si="16"/>
        <v>#NAME?</v>
      </c>
      <c r="J66" s="188" t="e">
        <f>_XLL.GL(R66,Period)</f>
        <v>#NAME?</v>
      </c>
      <c r="K66" s="188" t="e">
        <f t="shared" si="17"/>
        <v>#NAME?</v>
      </c>
      <c r="L66" s="188" t="e">
        <f t="shared" si="18"/>
        <v>#NAME?</v>
      </c>
      <c r="M66" s="188"/>
      <c r="N66" s="267"/>
      <c r="O66" s="267"/>
      <c r="P66" s="268"/>
      <c r="Q66" s="268"/>
      <c r="R66" s="177" t="e">
        <f>_XLL.BSPEC(N66,O66,P66,Q66)</f>
        <v>#NAME?</v>
      </c>
    </row>
    <row r="67" spans="4:17" ht="10.5" thickBot="1">
      <c r="D67" s="193" t="s">
        <v>338</v>
      </c>
      <c r="G67" s="221" t="e">
        <f aca="true" t="shared" si="19" ref="G67:L67">SUM(G51:G66)</f>
        <v>#NAME?</v>
      </c>
      <c r="H67" s="221">
        <f t="shared" si="19"/>
        <v>0.14402208289195978</v>
      </c>
      <c r="I67" s="221" t="e">
        <f t="shared" si="19"/>
        <v>#NAME?</v>
      </c>
      <c r="J67" s="227" t="e">
        <f t="shared" si="19"/>
        <v>#NAME?</v>
      </c>
      <c r="K67" s="227" t="e">
        <f t="shared" si="19"/>
        <v>#NAME?</v>
      </c>
      <c r="L67" s="227" t="e">
        <f t="shared" si="19"/>
        <v>#NAME?</v>
      </c>
      <c r="M67" s="188"/>
      <c r="N67" s="271"/>
      <c r="O67" s="271"/>
      <c r="P67" s="270"/>
      <c r="Q67" s="270"/>
    </row>
    <row r="68" spans="7:17" ht="9.75">
      <c r="G68" s="189"/>
      <c r="H68" s="189"/>
      <c r="I68" s="189"/>
      <c r="M68" s="188"/>
      <c r="N68" s="271"/>
      <c r="O68" s="271"/>
      <c r="P68" s="270"/>
      <c r="Q68" s="270"/>
    </row>
    <row r="69" spans="7:17" ht="9.75">
      <c r="G69" s="222"/>
      <c r="H69" s="222"/>
      <c r="I69" s="222"/>
      <c r="J69" s="191"/>
      <c r="K69" s="191"/>
      <c r="L69" s="191"/>
      <c r="M69" s="188"/>
      <c r="N69" s="271"/>
      <c r="O69" s="271"/>
      <c r="P69" s="270"/>
      <c r="Q69" s="270"/>
    </row>
    <row r="70" spans="2:17" ht="10.5" thickBot="1">
      <c r="B70" s="176" t="s">
        <v>398</v>
      </c>
      <c r="G70" s="224" t="e">
        <f aca="true" t="shared" si="20" ref="G70:L70">G48-G67</f>
        <v>#NAME?</v>
      </c>
      <c r="H70" s="224">
        <f t="shared" si="20"/>
        <v>0.20575270274453022</v>
      </c>
      <c r="I70" s="224" t="e">
        <f t="shared" si="20"/>
        <v>#NAME?</v>
      </c>
      <c r="J70" s="224" t="e">
        <f t="shared" si="20"/>
        <v>#NAME?</v>
      </c>
      <c r="K70" s="224" t="e">
        <f t="shared" si="20"/>
        <v>#NAME?</v>
      </c>
      <c r="L70" s="224" t="e">
        <f t="shared" si="20"/>
        <v>#NAME?</v>
      </c>
      <c r="M70" s="188"/>
      <c r="N70" s="271"/>
      <c r="O70" s="271"/>
      <c r="P70" s="270"/>
      <c r="Q70" s="270"/>
    </row>
    <row r="71" spans="2:17" ht="9.75">
      <c r="B71" s="193" t="s">
        <v>183</v>
      </c>
      <c r="G71" s="188"/>
      <c r="H71" s="188"/>
      <c r="I71" s="188"/>
      <c r="M71" s="188"/>
      <c r="N71" s="271"/>
      <c r="O71" s="271"/>
      <c r="P71" s="270"/>
      <c r="Q71" s="270"/>
    </row>
    <row r="72" spans="2:17" ht="9.75">
      <c r="B72" s="193"/>
      <c r="G72" s="188"/>
      <c r="H72" s="188"/>
      <c r="I72" s="188"/>
      <c r="M72" s="188"/>
      <c r="N72" s="271"/>
      <c r="O72" s="271"/>
      <c r="P72" s="270"/>
      <c r="Q72" s="270"/>
    </row>
    <row r="73" spans="2:18" ht="9.75">
      <c r="B73" s="177" t="s">
        <v>112</v>
      </c>
      <c r="G73" s="218" t="e">
        <f>J73/$J$15</f>
        <v>#NAME?</v>
      </c>
      <c r="H73" s="218">
        <f>'Pro Forma IS'!G36/'Pro Forma IS'!G20</f>
        <v>0</v>
      </c>
      <c r="I73" s="218" t="e">
        <f>G73-H73</f>
        <v>#NAME?</v>
      </c>
      <c r="J73" s="188" t="e">
        <f>_XLL.GL(R73,Period)</f>
        <v>#NAME?</v>
      </c>
      <c r="K73" s="188" t="e">
        <f>H73*J73</f>
        <v>#NAME?</v>
      </c>
      <c r="L73" s="188" t="e">
        <f>J73-K73</f>
        <v>#NAME?</v>
      </c>
      <c r="M73" s="188"/>
      <c r="N73" s="267"/>
      <c r="O73" s="267"/>
      <c r="P73" s="268"/>
      <c r="Q73" s="268"/>
      <c r="R73" s="177" t="e">
        <f>_XLL.BSPEC(N73,O73,P73,Q73)</f>
        <v>#NAME?</v>
      </c>
    </row>
    <row r="74" spans="2:18" ht="9.75">
      <c r="B74" s="177" t="s">
        <v>80</v>
      </c>
      <c r="G74" s="218" t="e">
        <f>J74/$J$15</f>
        <v>#NAME?</v>
      </c>
      <c r="H74" s="218">
        <f>'Pro Forma IS'!G37/'Pro Forma IS'!G20</f>
        <v>0.020865941125926893</v>
      </c>
      <c r="I74" s="218" t="e">
        <f>G74-H74</f>
        <v>#NAME?</v>
      </c>
      <c r="J74" s="188" t="e">
        <f>_XLL.GL(R74,Period)</f>
        <v>#NAME?</v>
      </c>
      <c r="K74" s="188" t="e">
        <f>H74*J74</f>
        <v>#NAME?</v>
      </c>
      <c r="L74" s="188" t="e">
        <f>J74-K74</f>
        <v>#NAME?</v>
      </c>
      <c r="M74" s="188"/>
      <c r="N74" s="267"/>
      <c r="O74" s="267"/>
      <c r="P74" s="268"/>
      <c r="Q74" s="268"/>
      <c r="R74" s="177" t="e">
        <f>_XLL.BSPEC(N74,O74,P74,Q74)</f>
        <v>#NAME?</v>
      </c>
    </row>
    <row r="75" spans="7:17" ht="9.75">
      <c r="G75" s="188"/>
      <c r="H75" s="188"/>
      <c r="I75" s="188"/>
      <c r="M75" s="188"/>
      <c r="N75" s="271"/>
      <c r="O75" s="271"/>
      <c r="P75" s="270"/>
      <c r="Q75" s="270"/>
    </row>
    <row r="76" spans="2:17" ht="10.5" thickBot="1">
      <c r="B76" s="176" t="s">
        <v>397</v>
      </c>
      <c r="G76" s="225" t="e">
        <f aca="true" t="shared" si="21" ref="G76:L76">G70+G73-G74</f>
        <v>#NAME?</v>
      </c>
      <c r="H76" s="225">
        <f t="shared" si="21"/>
        <v>0.18488676161860335</v>
      </c>
      <c r="I76" s="225" t="e">
        <f t="shared" si="21"/>
        <v>#NAME?</v>
      </c>
      <c r="J76" s="233" t="e">
        <f t="shared" si="21"/>
        <v>#NAME?</v>
      </c>
      <c r="K76" s="233" t="e">
        <f t="shared" si="21"/>
        <v>#NAME?</v>
      </c>
      <c r="L76" s="233" t="e">
        <f t="shared" si="21"/>
        <v>#NAME?</v>
      </c>
      <c r="M76" s="191"/>
      <c r="N76" s="269"/>
      <c r="O76" s="269"/>
      <c r="P76" s="270"/>
      <c r="Q76" s="270"/>
    </row>
    <row r="77" spans="7:17" ht="10.5" thickTop="1">
      <c r="G77" s="188"/>
      <c r="H77" s="188"/>
      <c r="I77" s="188"/>
      <c r="N77" s="271"/>
      <c r="O77" s="271"/>
      <c r="P77" s="270"/>
      <c r="Q77" s="270"/>
    </row>
    <row r="78" spans="7:17" ht="9.75">
      <c r="G78" s="195"/>
      <c r="H78" s="195"/>
      <c r="I78" s="195"/>
      <c r="N78" s="270"/>
      <c r="O78" s="270"/>
      <c r="P78" s="270"/>
      <c r="Q78" s="270"/>
    </row>
    <row r="79" spans="6:17" ht="9.75">
      <c r="F79" s="196" t="str">
        <f>Reserved</f>
        <v>This product was created by Multi-View Incorporated.  It is reserved for the exclusive use of MVI clients. Need help?  828-698-5885</v>
      </c>
      <c r="H79" s="195"/>
      <c r="I79" s="195"/>
      <c r="N79" s="270"/>
      <c r="O79" s="270"/>
      <c r="P79" s="270"/>
      <c r="Q79" s="270"/>
    </row>
    <row r="80" spans="14:17" ht="12" customHeight="1">
      <c r="N80" s="270"/>
      <c r="O80" s="270"/>
      <c r="P80" s="270"/>
      <c r="Q80" s="270"/>
    </row>
    <row r="81" spans="14:17" ht="9.75">
      <c r="N81" s="270"/>
      <c r="O81" s="270"/>
      <c r="P81" s="270"/>
      <c r="Q81" s="270"/>
    </row>
    <row r="82" spans="14:17" ht="9.75">
      <c r="N82" s="270"/>
      <c r="O82" s="270"/>
      <c r="P82" s="270"/>
      <c r="Q82" s="270"/>
    </row>
  </sheetData>
  <sheetProtection password="DFAD" sheet="1"/>
  <printOptions/>
  <pageMargins left="0.25" right="0.25" top="0.75" bottom="0.5" header="0.5" footer="0.5"/>
  <pageSetup horizontalDpi="600" verticalDpi="600" orientation="landscape" scale="85" r:id="rId1"/>
  <headerFooter alignWithMargins="0">
    <oddFooter>&amp;L&amp;F  &amp;A</oddFooter>
  </headerFooter>
</worksheet>
</file>

<file path=xl/worksheets/sheet7.xml><?xml version="1.0" encoding="utf-8"?>
<worksheet xmlns="http://schemas.openxmlformats.org/spreadsheetml/2006/main" xmlns:r="http://schemas.openxmlformats.org/officeDocument/2006/relationships">
  <sheetPr>
    <tabColor rgb="FF0070C0"/>
  </sheetPr>
  <dimension ref="A1:O55"/>
  <sheetViews>
    <sheetView showGridLines="0" zoomScalePageLayoutView="0" workbookViewId="0" topLeftCell="A1">
      <selection activeCell="H4" sqref="H4"/>
    </sheetView>
  </sheetViews>
  <sheetFormatPr defaultColWidth="9.140625" defaultRowHeight="12.75"/>
  <cols>
    <col min="1" max="1" width="1.28515625" style="177" customWidth="1"/>
    <col min="2" max="2" width="3.7109375" style="177" customWidth="1"/>
    <col min="3" max="3" width="3.28125" style="177" customWidth="1"/>
    <col min="4" max="4" width="2.7109375" style="177" customWidth="1"/>
    <col min="5" max="5" width="6.8515625" style="177" customWidth="1"/>
    <col min="6" max="6" width="19.57421875" style="177" customWidth="1"/>
    <col min="7" max="7" width="12.7109375" style="177" customWidth="1"/>
    <col min="8" max="9" width="11.57421875" style="177" customWidth="1"/>
    <col min="10" max="10" width="12.28125" style="177" customWidth="1"/>
    <col min="11" max="12" width="13.28125" style="177" customWidth="1"/>
    <col min="13" max="13" width="9.00390625" style="177" customWidth="1"/>
    <col min="14" max="14" width="8.00390625" style="177" customWidth="1"/>
    <col min="15" max="15" width="8.140625" style="177" customWidth="1"/>
    <col min="16" max="16384" width="9.140625" style="177" customWidth="1"/>
  </cols>
  <sheetData>
    <row r="1" spans="1:15" ht="12">
      <c r="A1" s="176" t="s">
        <v>309</v>
      </c>
      <c r="H1" s="177">
        <f>Version</f>
        <v>20</v>
      </c>
      <c r="M1" s="178" t="s">
        <v>160</v>
      </c>
      <c r="N1" s="179" t="str">
        <f>Name</f>
        <v>Sunny Day Hospice</v>
      </c>
      <c r="O1" s="180"/>
    </row>
    <row r="2" spans="7:15" s="181" customFormat="1" ht="12">
      <c r="G2" s="197" t="str">
        <f>'Pro Forma IS'!G2</f>
        <v>Year 1</v>
      </c>
      <c r="H2" s="197" t="str">
        <f>'Pro Forma IS'!H2</f>
        <v>Year 2</v>
      </c>
      <c r="I2" s="197" t="str">
        <f>'Pro Forma IS'!I2</f>
        <v>Year 3</v>
      </c>
      <c r="J2" s="197" t="str">
        <f>'Pro Forma IS'!J2</f>
        <v>Year 4</v>
      </c>
      <c r="K2" s="197" t="str">
        <f>'Pro Forma IS'!K2</f>
        <v>Year 5</v>
      </c>
      <c r="L2" s="182" t="s">
        <v>310</v>
      </c>
      <c r="M2" s="178" t="s">
        <v>161</v>
      </c>
      <c r="N2" s="179" t="str">
        <f>CON.Number</f>
        <v>XX-XXX</v>
      </c>
      <c r="O2" s="180"/>
    </row>
    <row r="3" spans="1:15" ht="10.5">
      <c r="A3" s="176" t="s">
        <v>1</v>
      </c>
      <c r="M3" s="178" t="s">
        <v>162</v>
      </c>
      <c r="N3" s="11" t="s">
        <v>167</v>
      </c>
      <c r="O3" s="183" t="str">
        <f>state</f>
        <v>GA</v>
      </c>
    </row>
    <row r="4" spans="2:15" ht="9.75">
      <c r="B4" s="177" t="s">
        <v>2</v>
      </c>
      <c r="G4" s="184">
        <f>'Pro Forma IS'!G4</f>
        <v>8</v>
      </c>
      <c r="H4" s="184">
        <f>'Pro Forma IS'!H4</f>
        <v>8</v>
      </c>
      <c r="I4" s="184">
        <f>'Pro Forma IS'!I4</f>
        <v>8</v>
      </c>
      <c r="J4" s="184">
        <f>'Pro Forma IS'!J4</f>
        <v>8</v>
      </c>
      <c r="K4" s="184">
        <f>'Pro Forma IS'!K4</f>
        <v>8</v>
      </c>
      <c r="L4" s="185"/>
      <c r="M4" s="178" t="s">
        <v>163</v>
      </c>
      <c r="N4" s="12">
        <v>1</v>
      </c>
      <c r="O4" s="186" t="str">
        <f>Submission.Date</f>
        <v>3/30/17</v>
      </c>
    </row>
    <row r="5" spans="2:12" ht="9.75">
      <c r="B5" s="177" t="s">
        <v>3</v>
      </c>
      <c r="G5" s="184">
        <f>'Pro Forma IS'!G5</f>
        <v>1</v>
      </c>
      <c r="H5" s="184">
        <f>'Pro Forma IS'!H5</f>
        <v>1</v>
      </c>
      <c r="I5" s="184">
        <f>'Pro Forma IS'!I5</f>
        <v>1</v>
      </c>
      <c r="J5" s="184">
        <f>'Pro Forma IS'!J5</f>
        <v>1</v>
      </c>
      <c r="K5" s="184">
        <f>'Pro Forma IS'!K5</f>
        <v>1</v>
      </c>
      <c r="L5" s="185"/>
    </row>
    <row r="6" spans="2:12" ht="9.75">
      <c r="B6" s="177" t="s">
        <v>319</v>
      </c>
      <c r="G6" s="184">
        <f>'Pro Forma IS'!G6</f>
        <v>2</v>
      </c>
      <c r="H6" s="184">
        <f>'Pro Forma IS'!H6</f>
        <v>2</v>
      </c>
      <c r="I6" s="184">
        <f>'Pro Forma IS'!I6</f>
        <v>2</v>
      </c>
      <c r="J6" s="184">
        <f>'Pro Forma IS'!J6</f>
        <v>2</v>
      </c>
      <c r="K6" s="184">
        <f>'Pro Forma IS'!K6</f>
        <v>2</v>
      </c>
      <c r="L6" s="185"/>
    </row>
    <row r="7" spans="2:12" ht="9.75">
      <c r="B7" s="177" t="s">
        <v>4</v>
      </c>
      <c r="G7" s="187">
        <f>'Pro Forma IS'!G7</f>
        <v>2920</v>
      </c>
      <c r="H7" s="187">
        <f>'Pro Forma IS'!H7</f>
        <v>2920</v>
      </c>
      <c r="I7" s="187">
        <f>'Pro Forma IS'!I7</f>
        <v>2920</v>
      </c>
      <c r="J7" s="187">
        <f>'Pro Forma IS'!J7</f>
        <v>2920</v>
      </c>
      <c r="K7" s="187">
        <f>'Pro Forma IS'!K7</f>
        <v>2920</v>
      </c>
      <c r="L7" s="188">
        <f>SUM(G7:K7)</f>
        <v>14600</v>
      </c>
    </row>
    <row r="8" spans="2:12" ht="9.75">
      <c r="B8" s="177" t="s">
        <v>5</v>
      </c>
      <c r="G8" s="187">
        <f>'Pro Forma IS'!G8</f>
        <v>365</v>
      </c>
      <c r="H8" s="187">
        <f>'Pro Forma IS'!H8</f>
        <v>365</v>
      </c>
      <c r="I8" s="187">
        <f>'Pro Forma IS'!I8</f>
        <v>365</v>
      </c>
      <c r="J8" s="187">
        <f>'Pro Forma IS'!J8</f>
        <v>365</v>
      </c>
      <c r="K8" s="187">
        <f>'Pro Forma IS'!K8</f>
        <v>365</v>
      </c>
      <c r="L8" s="188">
        <f>SUM(G8:K8)</f>
        <v>1825</v>
      </c>
    </row>
    <row r="9" spans="2:12" ht="9.75">
      <c r="B9" s="177" t="s">
        <v>320</v>
      </c>
      <c r="G9" s="187">
        <f>'Pro Forma IS'!G9</f>
        <v>730</v>
      </c>
      <c r="H9" s="187">
        <f>'Pro Forma IS'!H9</f>
        <v>730</v>
      </c>
      <c r="I9" s="187">
        <f>'Pro Forma IS'!I9</f>
        <v>730</v>
      </c>
      <c r="J9" s="187">
        <f>'Pro Forma IS'!J9</f>
        <v>730</v>
      </c>
      <c r="K9" s="187">
        <f>'Pro Forma IS'!K9</f>
        <v>730</v>
      </c>
      <c r="L9" s="188">
        <f>SUM(G9:K9)</f>
        <v>3650</v>
      </c>
    </row>
    <row r="10" spans="2:12" ht="9.75">
      <c r="B10" s="177" t="s">
        <v>209</v>
      </c>
      <c r="G10" s="187">
        <f>'Pro Forma IS'!G10</f>
        <v>365</v>
      </c>
      <c r="H10" s="187">
        <f>'Pro Forma IS'!H10</f>
        <v>365</v>
      </c>
      <c r="I10" s="187">
        <f>'Pro Forma IS'!I10</f>
        <v>365</v>
      </c>
      <c r="J10" s="187">
        <f>'Pro Forma IS'!J10</f>
        <v>365</v>
      </c>
      <c r="K10" s="187">
        <f>'Pro Forma IS'!K10</f>
        <v>365</v>
      </c>
      <c r="L10" s="188">
        <f>SUM(G10:K10)</f>
        <v>1825</v>
      </c>
    </row>
    <row r="12" ht="10.5">
      <c r="A12" s="176" t="s">
        <v>6</v>
      </c>
    </row>
    <row r="13" spans="2:15" ht="9.75">
      <c r="B13" s="177" t="s">
        <v>7</v>
      </c>
      <c r="G13" s="189">
        <f>IF(G$7=0,0,'Pro Forma IS'!G13/G$7)</f>
        <v>986.3328</v>
      </c>
      <c r="H13" s="189">
        <f>IF(H$7=0,0,'Pro Forma IS'!H13/H$7)</f>
        <v>996.196128</v>
      </c>
      <c r="I13" s="189">
        <f>IF(I$7=0,0,'Pro Forma IS'!I13/I$7)</f>
        <v>996.196128</v>
      </c>
      <c r="J13" s="189">
        <f>IF(J$7=0,0,'Pro Forma IS'!J13/J$7)</f>
        <v>996.196128</v>
      </c>
      <c r="K13" s="189">
        <f>IF(K$7=0,0,'Pro Forma IS'!K13/K$7)</f>
        <v>996.196128</v>
      </c>
      <c r="L13" s="189">
        <f>AVERAGE(G13:K13)</f>
        <v>994.2234624</v>
      </c>
      <c r="M13" s="188"/>
      <c r="N13" s="188"/>
      <c r="O13" s="188"/>
    </row>
    <row r="14" spans="2:15" ht="9.75">
      <c r="B14" s="177" t="s">
        <v>8</v>
      </c>
      <c r="G14" s="189">
        <f>IF(G$8=0,0,'Pro Forma IS'!G14/G$8)</f>
        <v>174.62</v>
      </c>
      <c r="H14" s="189">
        <f>IF(H$8=0,0,'Pro Forma IS'!H14/H$8)</f>
        <v>176.3662</v>
      </c>
      <c r="I14" s="189">
        <f>IF(I$8=0,0,'Pro Forma IS'!I14/I$8)</f>
        <v>176.3662</v>
      </c>
      <c r="J14" s="189">
        <f>IF(J$8=0,0,'Pro Forma IS'!J14/J$8)</f>
        <v>176.3662</v>
      </c>
      <c r="K14" s="189">
        <f>IF(K$8=0,0,'Pro Forma IS'!K14/K$8)</f>
        <v>176.3662</v>
      </c>
      <c r="L14" s="189">
        <f aca="true" t="shared" si="0" ref="L14:L20">AVERAGE(G14:K14)</f>
        <v>176.01695999999998</v>
      </c>
      <c r="M14" s="188"/>
      <c r="N14" s="188"/>
      <c r="O14" s="188"/>
    </row>
    <row r="15" spans="2:15" ht="9.75">
      <c r="B15" s="177" t="s">
        <v>285</v>
      </c>
      <c r="G15" s="189">
        <f>IF(G$9=0,0,'Pro Forma IS'!G15/G$9)</f>
        <v>431.7887999999999</v>
      </c>
      <c r="H15" s="189">
        <f>IF(H$9=0,0,'Pro Forma IS'!H15/H$9)</f>
        <v>436.106688</v>
      </c>
      <c r="I15" s="189">
        <f>IF(I$9=0,0,'Pro Forma IS'!I15/I$9)</f>
        <v>436.106688</v>
      </c>
      <c r="J15" s="189">
        <f>IF(J$9=0,0,'Pro Forma IS'!J15/J$9)</f>
        <v>436.106688</v>
      </c>
      <c r="K15" s="189">
        <f>IF(K$9=0,0,'Pro Forma IS'!K15/K$9)</f>
        <v>436.106688</v>
      </c>
      <c r="L15" s="189">
        <f t="shared" si="0"/>
        <v>435.24311040000003</v>
      </c>
      <c r="M15" s="188"/>
      <c r="N15" s="188"/>
      <c r="O15" s="188"/>
    </row>
    <row r="16" spans="2:15" ht="9.75">
      <c r="B16" s="177" t="s">
        <v>9</v>
      </c>
      <c r="G16" s="189">
        <f>IF(G$7=0,0,'Pro Forma IS'!G16/G$7)</f>
        <v>-19.726656</v>
      </c>
      <c r="H16" s="189">
        <f>IF(H$7=0,0,'Pro Forma IS'!H16/H$7)</f>
        <v>-19.92392256</v>
      </c>
      <c r="I16" s="189">
        <f>IF(I$7=0,0,'Pro Forma IS'!I16/I$7)</f>
        <v>-19.92392256</v>
      </c>
      <c r="J16" s="189">
        <f>IF(J$7=0,0,'Pro Forma IS'!J16/J$7)</f>
        <v>-19.92392256</v>
      </c>
      <c r="K16" s="189">
        <f>IF(K$7=0,0,'Pro Forma IS'!K16/K$7)</f>
        <v>-19.92392256</v>
      </c>
      <c r="L16" s="189">
        <f t="shared" si="0"/>
        <v>-19.884469248</v>
      </c>
      <c r="M16" s="188"/>
      <c r="N16" s="188"/>
      <c r="O16" s="188"/>
    </row>
    <row r="17" spans="2:15" ht="9.75">
      <c r="B17" s="177" t="s">
        <v>10</v>
      </c>
      <c r="G17" s="189">
        <f>IF(G$8=0,0,'Pro Forma IS'!G17/G$8)</f>
        <v>-3.4924000000000004</v>
      </c>
      <c r="H17" s="189">
        <f>IF(H$8=0,0,'Pro Forma IS'!H17/H$8)</f>
        <v>-3.527324</v>
      </c>
      <c r="I17" s="189">
        <f>IF(I$8=0,0,'Pro Forma IS'!I17/I$8)</f>
        <v>-3.527324</v>
      </c>
      <c r="J17" s="189">
        <f>IF(J$8=0,0,'Pro Forma IS'!J17/J$8)</f>
        <v>-3.527324</v>
      </c>
      <c r="K17" s="189">
        <f>IF(K$8=0,0,'Pro Forma IS'!K17/K$8)</f>
        <v>-3.527324</v>
      </c>
      <c r="L17" s="189">
        <f t="shared" si="0"/>
        <v>-3.5203392</v>
      </c>
      <c r="M17" s="188"/>
      <c r="N17" s="188"/>
      <c r="O17" s="188"/>
    </row>
    <row r="18" spans="2:15" ht="9.75">
      <c r="B18" s="177" t="s">
        <v>321</v>
      </c>
      <c r="G18" s="189">
        <f>IF(G$9=0,0,'Pro Forma IS'!G18/G$9)</f>
        <v>-43.17888</v>
      </c>
      <c r="H18" s="189">
        <f>IF(H$9=0,0,'Pro Forma IS'!H18/H$9)</f>
        <v>-43.610668800000006</v>
      </c>
      <c r="I18" s="189">
        <f>IF(I$9=0,0,'Pro Forma IS'!I18/I$9)</f>
        <v>-43.610668800000006</v>
      </c>
      <c r="J18" s="189">
        <f>IF(J$9=0,0,'Pro Forma IS'!J18/J$9)</f>
        <v>-43.610668800000006</v>
      </c>
      <c r="K18" s="189">
        <f>IF(K$9=0,0,'Pro Forma IS'!K18/K$9)</f>
        <v>-43.610668800000006</v>
      </c>
      <c r="L18" s="189">
        <f t="shared" si="0"/>
        <v>-43.52431104000001</v>
      </c>
      <c r="M18" s="188"/>
      <c r="N18" s="188"/>
      <c r="O18" s="188"/>
    </row>
    <row r="19" spans="2:15" ht="9.75">
      <c r="B19" s="177" t="s">
        <v>131</v>
      </c>
      <c r="G19" s="189">
        <f>'Pro Forma IS'!G19/(G$7+G$8+G$9)</f>
        <v>21.818181818181817</v>
      </c>
      <c r="H19" s="189">
        <f>'Pro Forma IS'!H19/(H$7+H$8+H$9)</f>
        <v>21.818181818181817</v>
      </c>
      <c r="I19" s="189">
        <f>'Pro Forma IS'!I19/(I$7+I$8+I$9)</f>
        <v>21.818181818181817</v>
      </c>
      <c r="J19" s="189">
        <f>'Pro Forma IS'!J19/(J$7+J$8+J$9)</f>
        <v>21.818181818181817</v>
      </c>
      <c r="K19" s="189">
        <f>'Pro Forma IS'!K19/(K$7+K$8+K$9)</f>
        <v>21.818181818181817</v>
      </c>
      <c r="L19" s="189">
        <f t="shared" si="0"/>
        <v>21.818181818181817</v>
      </c>
      <c r="M19" s="188"/>
      <c r="N19" s="188"/>
      <c r="O19" s="188"/>
    </row>
    <row r="20" spans="3:15" ht="9.75">
      <c r="C20" s="193" t="s">
        <v>330</v>
      </c>
      <c r="G20" s="190">
        <f>'Pro Forma IS'!G20/(G$7+G$8+G$9)</f>
        <v>811.0178719999999</v>
      </c>
      <c r="H20" s="190">
        <f>'Pro Forma IS'!H20/(H$7+H$8+H$9)</f>
        <v>818.9098689018184</v>
      </c>
      <c r="I20" s="190">
        <f>'Pro Forma IS'!I20/(I$7+I$8+I$9)</f>
        <v>818.9098689018184</v>
      </c>
      <c r="J20" s="190">
        <f>'Pro Forma IS'!J20/(J$7+J$8+J$9)</f>
        <v>818.9098689018184</v>
      </c>
      <c r="K20" s="190">
        <f>'Pro Forma IS'!K20/(K$7+K$8+K$9)</f>
        <v>818.9098689018184</v>
      </c>
      <c r="L20" s="190">
        <f t="shared" si="0"/>
        <v>817.3314695214547</v>
      </c>
      <c r="M20" s="191"/>
      <c r="N20" s="191"/>
      <c r="O20" s="191"/>
    </row>
    <row r="21" spans="7:15" ht="9.75">
      <c r="G21" s="188"/>
      <c r="H21" s="188"/>
      <c r="I21" s="188"/>
      <c r="J21" s="188"/>
      <c r="K21" s="188"/>
      <c r="L21" s="188"/>
      <c r="M21" s="188"/>
      <c r="N21" s="188"/>
      <c r="O21" s="188"/>
    </row>
    <row r="22" spans="1:15" ht="10.5">
      <c r="A22" s="176" t="s">
        <v>12</v>
      </c>
      <c r="G22" s="188"/>
      <c r="H22" s="188"/>
      <c r="I22" s="188"/>
      <c r="J22" s="188"/>
      <c r="K22" s="188"/>
      <c r="L22" s="188"/>
      <c r="M22" s="188"/>
      <c r="N22" s="188"/>
      <c r="O22" s="188"/>
    </row>
    <row r="23" spans="2:15" ht="9.75">
      <c r="B23" s="177" t="s">
        <v>13</v>
      </c>
      <c r="G23" s="189">
        <f>'Pro Forma IS'!G23/(G$7+G$8+G$9)</f>
        <v>447.4452696738377</v>
      </c>
      <c r="H23" s="189">
        <f>'Pro Forma IS'!H23/(H$7+H$8+H$9)</f>
        <v>460.86862776405275</v>
      </c>
      <c r="I23" s="189">
        <f>'Pro Forma IS'!I23/(I$7+I$8+I$9)</f>
        <v>474.2919858542679</v>
      </c>
      <c r="J23" s="189">
        <f>'Pro Forma IS'!J23/(J$7+J$8+J$9)</f>
        <v>487.7153439444831</v>
      </c>
      <c r="K23" s="189">
        <f>'Pro Forma IS'!K23/(K$7+K$8+K$9)</f>
        <v>501.1387020346981</v>
      </c>
      <c r="L23" s="189">
        <f aca="true" t="shared" si="1" ref="L23:L31">AVERAGE(G23:K23)</f>
        <v>474.29198585426786</v>
      </c>
      <c r="M23" s="188"/>
      <c r="N23" s="188"/>
      <c r="O23" s="188"/>
    </row>
    <row r="24" spans="2:15" ht="9.75">
      <c r="B24" s="177" t="s">
        <v>14</v>
      </c>
      <c r="G24" s="189">
        <f>IF(G$7=0,0,'Pro Forma IS'!G24/G$7)</f>
        <v>79.899</v>
      </c>
      <c r="H24" s="189">
        <f>IF(H$7=0,0,'Pro Forma IS'!H24/H$7)</f>
        <v>82.29597000000001</v>
      </c>
      <c r="I24" s="189">
        <f>IF(I$7=0,0,'Pro Forma IS'!I24/I$7)</f>
        <v>84.69294000000001</v>
      </c>
      <c r="J24" s="189">
        <f>IF(J$7=0,0,'Pro Forma IS'!J24/J$7)</f>
        <v>87.08990999999999</v>
      </c>
      <c r="K24" s="189">
        <f>IF(K$7=0,0,'Pro Forma IS'!K24/K$7)</f>
        <v>89.48688000000001</v>
      </c>
      <c r="L24" s="189">
        <f t="shared" si="1"/>
        <v>84.69294</v>
      </c>
      <c r="M24" s="188"/>
      <c r="N24" s="188"/>
      <c r="O24" s="188"/>
    </row>
    <row r="25" spans="2:15" ht="9.75">
      <c r="B25" s="177" t="s">
        <v>15</v>
      </c>
      <c r="G25" s="189">
        <f>IF(G$8=0,0,'Pro Forma IS'!G25/G$8)</f>
        <v>79.899</v>
      </c>
      <c r="H25" s="189">
        <f>IF(H$8=0,0,'Pro Forma IS'!H25/H$8)</f>
        <v>82.29597000000001</v>
      </c>
      <c r="I25" s="189">
        <f>IF(I$8=0,0,'Pro Forma IS'!I25/I$8)</f>
        <v>84.69294000000001</v>
      </c>
      <c r="J25" s="189">
        <f>IF(J$8=0,0,'Pro Forma IS'!J25/J$8)</f>
        <v>87.08990999999999</v>
      </c>
      <c r="K25" s="189">
        <f>IF(K$8=0,0,'Pro Forma IS'!K25/K$8)</f>
        <v>89.48688000000001</v>
      </c>
      <c r="L25" s="189">
        <f t="shared" si="1"/>
        <v>84.69294</v>
      </c>
      <c r="M25" s="188"/>
      <c r="N25" s="188"/>
      <c r="O25" s="188"/>
    </row>
    <row r="26" spans="2:15" ht="9.75">
      <c r="B26" s="177" t="s">
        <v>322</v>
      </c>
      <c r="G26" s="222">
        <f>'Pro Forma IS'!G26/(G$7+G$8+G$9)</f>
        <v>14.52709090909091</v>
      </c>
      <c r="H26" s="222">
        <f>'Pro Forma IS'!H26/(H$7+H$8+H$9)</f>
        <v>14.962903636363638</v>
      </c>
      <c r="I26" s="222">
        <f>'Pro Forma IS'!I26/(I$7+I$8+I$9)</f>
        <v>15.398716363636366</v>
      </c>
      <c r="J26" s="222">
        <f>'Pro Forma IS'!J26/(J$7+J$8+J$9)</f>
        <v>15.834529090909088</v>
      </c>
      <c r="K26" s="222">
        <f>'Pro Forma IS'!K26/(K$7+K$8+K$9)</f>
        <v>16.27034181818182</v>
      </c>
      <c r="L26" s="222">
        <f t="shared" si="1"/>
        <v>15.398716363636364</v>
      </c>
      <c r="M26" s="188"/>
      <c r="N26" s="188"/>
      <c r="O26" s="188"/>
    </row>
    <row r="27" spans="3:15" ht="9.75">
      <c r="C27" s="193" t="s">
        <v>396</v>
      </c>
      <c r="G27" s="190">
        <f>SUM(G23:G26)</f>
        <v>621.7703605829287</v>
      </c>
      <c r="H27" s="190">
        <f>SUM(H23:H26)</f>
        <v>640.4234714004165</v>
      </c>
      <c r="I27" s="190">
        <f>SUM(I23:I26)</f>
        <v>659.0765822179043</v>
      </c>
      <c r="J27" s="190">
        <f>SUM(J23:J26)</f>
        <v>677.7296930353922</v>
      </c>
      <c r="K27" s="190">
        <f>SUM(K23:K26)</f>
        <v>696.38280385288</v>
      </c>
      <c r="L27" s="190">
        <f t="shared" si="1"/>
        <v>659.0765822179044</v>
      </c>
      <c r="M27" s="188"/>
      <c r="N27" s="188"/>
      <c r="O27" s="188"/>
    </row>
    <row r="28" spans="7:15" ht="9.75">
      <c r="G28" s="189"/>
      <c r="H28" s="189"/>
      <c r="I28" s="189"/>
      <c r="J28" s="189"/>
      <c r="K28" s="189"/>
      <c r="L28" s="189"/>
      <c r="M28" s="188"/>
      <c r="N28" s="188"/>
      <c r="O28" s="188"/>
    </row>
    <row r="29" spans="2:15" ht="10.5" thickBot="1">
      <c r="B29" s="176" t="s">
        <v>182</v>
      </c>
      <c r="G29" s="192">
        <f>G20-G27</f>
        <v>189.24751141707122</v>
      </c>
      <c r="H29" s="192">
        <f>H20-H27</f>
        <v>178.48639750140194</v>
      </c>
      <c r="I29" s="192">
        <f>I20-I27</f>
        <v>159.83328668391414</v>
      </c>
      <c r="J29" s="192">
        <f>J20-J27</f>
        <v>141.18017586642623</v>
      </c>
      <c r="K29" s="192">
        <f>K20-K27</f>
        <v>122.52706504893843</v>
      </c>
      <c r="L29" s="192">
        <f>AVERAGE(G29:K29)</f>
        <v>158.2548873035504</v>
      </c>
      <c r="M29" s="188"/>
      <c r="N29" s="188"/>
      <c r="O29" s="188"/>
    </row>
    <row r="30" spans="7:15" ht="9.75">
      <c r="G30" s="189"/>
      <c r="H30" s="189"/>
      <c r="I30" s="189"/>
      <c r="J30" s="189"/>
      <c r="K30" s="189"/>
      <c r="L30" s="189"/>
      <c r="M30" s="188"/>
      <c r="N30" s="188"/>
      <c r="O30" s="188"/>
    </row>
    <row r="31" spans="2:15" ht="9.75">
      <c r="B31" s="177" t="s">
        <v>16</v>
      </c>
      <c r="G31" s="189">
        <f>'Pro Forma IS'!G31/(G$7+G$8+G$9)</f>
        <v>116.80448318804483</v>
      </c>
      <c r="H31" s="189">
        <f>'Pro Forma IS'!H31/(H$7+H$8+H$9)</f>
        <v>120.30861768368617</v>
      </c>
      <c r="I31" s="189">
        <f>'Pro Forma IS'!I31/(I$7+I$8+I$9)</f>
        <v>123.81275217932752</v>
      </c>
      <c r="J31" s="189">
        <f>'Pro Forma IS'!J31/(J$7+J$8+J$9)</f>
        <v>127.31688667496887</v>
      </c>
      <c r="K31" s="189">
        <f>'Pro Forma IS'!K31/(K$7+K$8+K$9)</f>
        <v>130.82102117061024</v>
      </c>
      <c r="L31" s="189">
        <f t="shared" si="1"/>
        <v>123.81275217932753</v>
      </c>
      <c r="M31" s="188"/>
      <c r="N31" s="188"/>
      <c r="O31" s="188"/>
    </row>
    <row r="32" spans="7:15" ht="9.75">
      <c r="G32" s="188"/>
      <c r="H32" s="188"/>
      <c r="I32" s="188"/>
      <c r="J32" s="188"/>
      <c r="K32" s="188"/>
      <c r="L32" s="188"/>
      <c r="M32" s="188"/>
      <c r="N32" s="188"/>
      <c r="O32" s="188"/>
    </row>
    <row r="33" spans="2:15" ht="10.5" thickBot="1">
      <c r="B33" s="176" t="s">
        <v>398</v>
      </c>
      <c r="G33" s="192">
        <f>G29-G31</f>
        <v>72.4430282290264</v>
      </c>
      <c r="H33" s="192">
        <f>H29-H31</f>
        <v>58.17777981771577</v>
      </c>
      <c r="I33" s="192">
        <f>I29-I31</f>
        <v>36.02053450458662</v>
      </c>
      <c r="J33" s="192">
        <f>J29-J31</f>
        <v>13.863289191457355</v>
      </c>
      <c r="K33" s="192">
        <f>K29-K31</f>
        <v>-8.293956121671812</v>
      </c>
      <c r="L33" s="192">
        <f>AVERAGE(G33:K33)</f>
        <v>34.44213512422287</v>
      </c>
      <c r="M33" s="188"/>
      <c r="N33" s="188"/>
      <c r="O33" s="188"/>
    </row>
    <row r="34" spans="2:15" ht="9.75">
      <c r="B34" s="193" t="s">
        <v>183</v>
      </c>
      <c r="G34" s="188"/>
      <c r="H34" s="188"/>
      <c r="I34" s="188"/>
      <c r="J34" s="188"/>
      <c r="K34" s="188"/>
      <c r="L34" s="188"/>
      <c r="M34" s="188"/>
      <c r="N34" s="188"/>
      <c r="O34" s="188"/>
    </row>
    <row r="35" spans="2:15" ht="9.75">
      <c r="B35" s="193"/>
      <c r="G35" s="188"/>
      <c r="H35" s="188"/>
      <c r="I35" s="188"/>
      <c r="J35" s="188"/>
      <c r="K35" s="188"/>
      <c r="L35" s="188"/>
      <c r="M35" s="188"/>
      <c r="N35" s="188"/>
      <c r="O35" s="188"/>
    </row>
    <row r="36" spans="2:15" ht="9.75">
      <c r="B36" s="177" t="s">
        <v>112</v>
      </c>
      <c r="G36" s="189">
        <f>'Pro Forma IS'!G36/(G$7+G$8+G$9)</f>
        <v>0</v>
      </c>
      <c r="H36" s="189">
        <f>'Pro Forma IS'!H36/(H$7+H$8+H$9)</f>
        <v>0</v>
      </c>
      <c r="I36" s="189">
        <f>'Pro Forma IS'!I36/(I$7+I$8+I$9)</f>
        <v>0</v>
      </c>
      <c r="J36" s="189">
        <f>'Pro Forma IS'!J36/(J$7+J$8+J$9)</f>
        <v>0</v>
      </c>
      <c r="K36" s="189">
        <f>'Pro Forma IS'!K36/(K$7+K$8+K$9)</f>
        <v>0</v>
      </c>
      <c r="L36" s="189">
        <f>AVERAGE(G36:K36)</f>
        <v>0</v>
      </c>
      <c r="M36" s="188"/>
      <c r="N36" s="188"/>
      <c r="O36" s="188"/>
    </row>
    <row r="37" spans="2:15" ht="9.75">
      <c r="B37" s="177" t="s">
        <v>80</v>
      </c>
      <c r="G37" s="189">
        <f>'Pro Forma IS'!G37/(G$7+G$8+G$9)</f>
        <v>16.92265116922651</v>
      </c>
      <c r="H37" s="189">
        <f>'Pro Forma IS'!H37/(H$7+H$8+H$9)</f>
        <v>16.92265116922651</v>
      </c>
      <c r="I37" s="189">
        <f>'Pro Forma IS'!I37/(I$7+I$8+I$9)</f>
        <v>16.92265116922651</v>
      </c>
      <c r="J37" s="189">
        <f>'Pro Forma IS'!J37/(J$7+J$8+J$9)</f>
        <v>16.92265116922651</v>
      </c>
      <c r="K37" s="189">
        <f>'Pro Forma IS'!K37/(K$7+K$8+K$9)</f>
        <v>16.92265116922651</v>
      </c>
      <c r="L37" s="189">
        <f>AVERAGE(G37:K37)</f>
        <v>16.92265116922651</v>
      </c>
      <c r="M37" s="188"/>
      <c r="N37" s="188"/>
      <c r="O37" s="188"/>
    </row>
    <row r="38" spans="7:15" ht="9.75">
      <c r="G38" s="188"/>
      <c r="H38" s="188"/>
      <c r="I38" s="188"/>
      <c r="J38" s="188"/>
      <c r="K38" s="188"/>
      <c r="L38" s="188"/>
      <c r="M38" s="188"/>
      <c r="N38" s="188"/>
      <c r="O38" s="188"/>
    </row>
    <row r="39" spans="2:15" ht="10.5" thickBot="1">
      <c r="B39" s="176" t="s">
        <v>397</v>
      </c>
      <c r="G39" s="194">
        <f>G33+G36-G37</f>
        <v>55.520377059799884</v>
      </c>
      <c r="H39" s="194">
        <f>H33+H36-H37</f>
        <v>41.25512864848926</v>
      </c>
      <c r="I39" s="194">
        <f>I33+I36-I37</f>
        <v>19.097883335360113</v>
      </c>
      <c r="J39" s="194">
        <f>J33+J36-J37</f>
        <v>-3.0593619777691536</v>
      </c>
      <c r="K39" s="194">
        <f>K33+K36-K37</f>
        <v>-25.21660729089832</v>
      </c>
      <c r="L39" s="194">
        <f>AVERAGE(G39:K39)</f>
        <v>17.519483954996353</v>
      </c>
      <c r="M39" s="191"/>
      <c r="N39" s="191"/>
      <c r="O39" s="191"/>
    </row>
    <row r="40" spans="7:15" ht="10.5" thickTop="1">
      <c r="G40" s="188"/>
      <c r="H40" s="188"/>
      <c r="I40" s="188"/>
      <c r="J40" s="188"/>
      <c r="K40" s="188"/>
      <c r="L40" s="188"/>
      <c r="N40" s="188"/>
      <c r="O40" s="188"/>
    </row>
    <row r="41" spans="7:11" ht="9.75">
      <c r="G41" s="195"/>
      <c r="H41" s="195"/>
      <c r="I41" s="195"/>
      <c r="J41" s="195"/>
      <c r="K41" s="195"/>
    </row>
    <row r="42" spans="7:11" ht="9.75">
      <c r="G42" s="196" t="str">
        <f>Reserved</f>
        <v>This product was created by Multi-View Incorporated.  It is reserved for the exclusive use of MVI clients. Need help?  828-698-5885</v>
      </c>
      <c r="H42" s="195"/>
      <c r="I42" s="195"/>
      <c r="J42" s="195"/>
      <c r="K42" s="195"/>
    </row>
    <row r="43" ht="12" customHeight="1"/>
    <row r="44" spans="5:12" ht="12" customHeight="1">
      <c r="E44" s="202" t="s">
        <v>311</v>
      </c>
      <c r="G44" s="203" t="str">
        <f aca="true" t="shared" si="2" ref="G44:L44">G2</f>
        <v>Year 1</v>
      </c>
      <c r="H44" s="203" t="str">
        <f t="shared" si="2"/>
        <v>Year 2</v>
      </c>
      <c r="I44" s="203" t="str">
        <f t="shared" si="2"/>
        <v>Year 3</v>
      </c>
      <c r="J44" s="203" t="str">
        <f t="shared" si="2"/>
        <v>Year 4</v>
      </c>
      <c r="K44" s="203" t="str">
        <f t="shared" si="2"/>
        <v>Year 5</v>
      </c>
      <c r="L44" s="203" t="str">
        <f t="shared" si="2"/>
        <v>Average</v>
      </c>
    </row>
    <row r="45" ht="12" customHeight="1"/>
    <row r="46" spans="6:12" ht="9.75">
      <c r="F46" s="177" t="str">
        <f>Staffing!E220</f>
        <v>RN</v>
      </c>
      <c r="G46" s="189">
        <f>Staffing!F233/(G$7+G$8+G$9)</f>
        <v>263.3750562109646</v>
      </c>
      <c r="H46" s="189">
        <f>Staffing!G233/(H$7+H$8+H$9)</f>
        <v>271.2763078972936</v>
      </c>
      <c r="I46" s="189">
        <f>Staffing!H233/(I$7+I$8+I$9)</f>
        <v>279.17755958362255</v>
      </c>
      <c r="J46" s="189">
        <f>Staffing!I233/(J$7+J$8+J$9)</f>
        <v>287.0788112699515</v>
      </c>
      <c r="K46" s="189">
        <f>Staffing!J233/(K$7+K$8+K$9)</f>
        <v>294.9800629562804</v>
      </c>
      <c r="L46" s="189">
        <f>Staffing!K233/(L$7+L$8+L$9)</f>
        <v>279.1775595836225</v>
      </c>
    </row>
    <row r="47" spans="6:12" ht="9.75">
      <c r="F47" s="177" t="str">
        <f>Staffing!E221</f>
        <v>LPN</v>
      </c>
      <c r="G47" s="189">
        <f>Staffing!F234/(G$7+G$8+G$9)</f>
        <v>0</v>
      </c>
      <c r="H47" s="189">
        <f>Staffing!G234/(H$7+H$8+H$9)</f>
        <v>0</v>
      </c>
      <c r="I47" s="189">
        <f>Staffing!H234/(I$7+I$8+I$9)</f>
        <v>0</v>
      </c>
      <c r="J47" s="189">
        <f>Staffing!I234/(J$7+J$8+J$9)</f>
        <v>0</v>
      </c>
      <c r="K47" s="189">
        <f>Staffing!J234/(K$7+K$8+K$9)</f>
        <v>0</v>
      </c>
      <c r="L47" s="189">
        <f>Staffing!K234/(L$7+L$8+L$9)</f>
        <v>0</v>
      </c>
    </row>
    <row r="48" spans="6:12" ht="9.75">
      <c r="F48" s="177" t="str">
        <f>Staffing!E222</f>
        <v>CNA</v>
      </c>
      <c r="G48" s="189">
        <f>Staffing!F235/(G$7+G$8+G$9)</f>
        <v>98.75684108258154</v>
      </c>
      <c r="H48" s="189">
        <f>Staffing!G235/(H$7+H$8+H$9)</f>
        <v>101.719546315059</v>
      </c>
      <c r="I48" s="189">
        <f>Staffing!H235/(I$7+I$8+I$9)</f>
        <v>104.68225154753642</v>
      </c>
      <c r="J48" s="189">
        <f>Staffing!I235/(J$7+J$8+J$9)</f>
        <v>107.64495678001389</v>
      </c>
      <c r="K48" s="189">
        <f>Staffing!J235/(K$7+K$8+K$9)</f>
        <v>110.60766201249135</v>
      </c>
      <c r="L48" s="189">
        <f>Staffing!K235/(L$7+L$8+L$9)</f>
        <v>104.68225154753644</v>
      </c>
    </row>
    <row r="49" spans="6:12" ht="9.75">
      <c r="F49" s="177" t="str">
        <f>Staffing!E223</f>
        <v>SW</v>
      </c>
      <c r="G49" s="189">
        <f>Staffing!F236/(G$7+G$8+G$9)</f>
        <v>21.554631505898676</v>
      </c>
      <c r="H49" s="189">
        <f>Staffing!G236/(H$7+H$8+H$9)</f>
        <v>22.201270451075636</v>
      </c>
      <c r="I49" s="189">
        <f>Staffing!H236/(I$7+I$8+I$9)</f>
        <v>22.8479093962526</v>
      </c>
      <c r="J49" s="189">
        <f>Staffing!I236/(J$7+J$8+J$9)</f>
        <v>23.49454834142956</v>
      </c>
      <c r="K49" s="189">
        <f>Staffing!J236/(K$7+K$8+K$9)</f>
        <v>24.14118728660652</v>
      </c>
      <c r="L49" s="189">
        <f>Staffing!K236/(L$7+L$8+L$9)</f>
        <v>22.8479093962526</v>
      </c>
    </row>
    <row r="50" spans="6:12" ht="9.75">
      <c r="F50" s="177" t="str">
        <f>Staffing!E224</f>
        <v>Chaplain</v>
      </c>
      <c r="G50" s="189">
        <f>Staffing!F237/(G$7+G$8+G$9)</f>
        <v>0</v>
      </c>
      <c r="H50" s="189">
        <f>Staffing!G237/(H$7+H$8+H$9)</f>
        <v>0</v>
      </c>
      <c r="I50" s="189">
        <f>Staffing!H237/(I$7+I$8+I$9)</f>
        <v>0</v>
      </c>
      <c r="J50" s="189">
        <f>Staffing!I237/(J$7+J$8+J$9)</f>
        <v>0</v>
      </c>
      <c r="K50" s="189">
        <f>Staffing!J237/(K$7+K$8+K$9)</f>
        <v>0</v>
      </c>
      <c r="L50" s="189">
        <f>Staffing!K237/(L$7+L$8+L$9)</f>
        <v>0</v>
      </c>
    </row>
    <row r="51" spans="6:12" ht="9.75">
      <c r="F51" s="177" t="str">
        <f>Staffing!E225</f>
        <v>Ward Clerk</v>
      </c>
      <c r="G51" s="189">
        <f>Staffing!F238/(G$7+G$8+G$9)</f>
        <v>27.471589174184597</v>
      </c>
      <c r="H51" s="189">
        <f>Staffing!G238/(H$7+H$8+H$9)</f>
        <v>28.295736849410133</v>
      </c>
      <c r="I51" s="189">
        <f>Staffing!H238/(I$7+I$8+I$9)</f>
        <v>29.11988452463567</v>
      </c>
      <c r="J51" s="189">
        <f>Staffing!I238/(J$7+J$8+J$9)</f>
        <v>29.94403219986121</v>
      </c>
      <c r="K51" s="189">
        <f>Staffing!J238/(K$7+K$8+K$9)</f>
        <v>30.768179875086748</v>
      </c>
      <c r="L51" s="189">
        <f>Staffing!K238/(L$7+L$8+L$9)</f>
        <v>29.119884524635673</v>
      </c>
    </row>
    <row r="52" spans="6:12" ht="9.75">
      <c r="F52" s="177" t="str">
        <f>Staffing!E226</f>
        <v>Facilities/Cleaning/Other</v>
      </c>
      <c r="G52" s="189">
        <f>Staffing!F239/(G$7+G$8+G$9)</f>
        <v>4.652560166551006</v>
      </c>
      <c r="H52" s="189">
        <f>Staffing!G239/(H$7+H$8+H$9)</f>
        <v>4.792136971547538</v>
      </c>
      <c r="I52" s="189">
        <f>Staffing!H239/(I$7+I$8+I$9)</f>
        <v>4.9317137765440675</v>
      </c>
      <c r="J52" s="189">
        <f>Staffing!I239/(J$7+J$8+J$9)</f>
        <v>5.071290581540598</v>
      </c>
      <c r="K52" s="189">
        <f>Staffing!J239/(K$7+K$8+K$9)</f>
        <v>5.210867386537128</v>
      </c>
      <c r="L52" s="189">
        <f>Staffing!K239/(L$7+L$8+L$9)</f>
        <v>4.9317137765440675</v>
      </c>
    </row>
    <row r="53" spans="6:12" ht="9.75">
      <c r="F53" s="177" t="str">
        <f>Staffing!E227</f>
        <v>Manager</v>
      </c>
      <c r="G53" s="189">
        <f>Staffing!F240/(G$7+G$8+G$9)</f>
        <v>31.63459153365718</v>
      </c>
      <c r="H53" s="189">
        <f>Staffing!G240/(H$7+H$8+H$9)</f>
        <v>32.583629279666894</v>
      </c>
      <c r="I53" s="189">
        <f>Staffing!H240/(I$7+I$8+I$9)</f>
        <v>33.53266702567661</v>
      </c>
      <c r="J53" s="189">
        <f>Staffing!I240/(J$7+J$8+J$9)</f>
        <v>34.48170477168633</v>
      </c>
      <c r="K53" s="189">
        <f>Staffing!J240/(K$7+K$8+K$9)</f>
        <v>35.430742517696046</v>
      </c>
      <c r="L53" s="189">
        <f>Staffing!K240/(L$7+L$8+L$9)</f>
        <v>33.532667025676616</v>
      </c>
    </row>
    <row r="54" spans="6:12" ht="9.75">
      <c r="F54" s="177" t="str">
        <f>Staffing!E228</f>
        <v>Physician</v>
      </c>
      <c r="G54" s="189">
        <f>Staffing!F241/(G$7+G$8+G$9)</f>
        <v>0</v>
      </c>
      <c r="H54" s="189">
        <f>Staffing!G241/(H$7+H$8+H$9)</f>
        <v>0</v>
      </c>
      <c r="I54" s="189">
        <f>Staffing!H241/(I$7+I$8+I$9)</f>
        <v>0</v>
      </c>
      <c r="J54" s="189">
        <f>Staffing!I241/(J$7+J$8+J$9)</f>
        <v>0</v>
      </c>
      <c r="K54" s="189">
        <f>Staffing!J241/(K$7+K$8+K$9)</f>
        <v>0</v>
      </c>
      <c r="L54" s="189">
        <f>Staffing!K241/(L$7+L$8+L$9)</f>
        <v>0</v>
      </c>
    </row>
    <row r="55" spans="6:12" ht="10.5" thickBot="1">
      <c r="F55" s="177" t="str">
        <f>Staffing!E229</f>
        <v>Total</v>
      </c>
      <c r="G55" s="204">
        <f>Staffing!F242/(G$7+G$8+G$9)</f>
        <v>447.44526967383763</v>
      </c>
      <c r="H55" s="204">
        <f>Staffing!G242/(H$7+H$8+H$9)</f>
        <v>460.86862776405275</v>
      </c>
      <c r="I55" s="204">
        <f>Staffing!H242/(I$7+I$8+I$9)</f>
        <v>474.2919858542679</v>
      </c>
      <c r="J55" s="204">
        <f>Staffing!I242/(J$7+J$8+J$9)</f>
        <v>487.7153439444831</v>
      </c>
      <c r="K55" s="204">
        <f>Staffing!J242/(K$7+K$8+K$9)</f>
        <v>501.13870203469816</v>
      </c>
      <c r="L55" s="204">
        <f>Staffing!K242/(L$7+L$8+L$9)</f>
        <v>474.2919858542679</v>
      </c>
    </row>
  </sheetData>
  <sheetProtection password="DFAD" sheet="1" objects="1" scenarios="1"/>
  <printOptions/>
  <pageMargins left="0.5" right="0.5" top="0.5" bottom="0.75" header="0.5" footer="0.5"/>
  <pageSetup horizontalDpi="600" verticalDpi="600" orientation="landscape" scale="85" r:id="rId1"/>
</worksheet>
</file>

<file path=xl/worksheets/sheet8.xml><?xml version="1.0" encoding="utf-8"?>
<worksheet xmlns="http://schemas.openxmlformats.org/spreadsheetml/2006/main" xmlns:r="http://schemas.openxmlformats.org/officeDocument/2006/relationships">
  <sheetPr>
    <tabColor rgb="FF0070C0"/>
  </sheetPr>
  <dimension ref="A1:O84"/>
  <sheetViews>
    <sheetView showGridLines="0" zoomScalePageLayoutView="0" workbookViewId="0" topLeftCell="A1">
      <pane xSplit="6" ySplit="2" topLeftCell="G3" activePane="bottomRight" state="frozen"/>
      <selection pane="topLeft" activeCell="A1" sqref="A1"/>
      <selection pane="topRight" activeCell="G1" sqref="G1"/>
      <selection pane="bottomLeft" activeCell="A3" sqref="A3"/>
      <selection pane="bottomRight" activeCell="N17" sqref="N17"/>
    </sheetView>
  </sheetViews>
  <sheetFormatPr defaultColWidth="9.140625" defaultRowHeight="12.75"/>
  <cols>
    <col min="1" max="1" width="1.28515625" style="177" customWidth="1"/>
    <col min="2" max="2" width="3.7109375" style="177" customWidth="1"/>
    <col min="3" max="3" width="3.28125" style="177" customWidth="1"/>
    <col min="4" max="4" width="2.7109375" style="177" customWidth="1"/>
    <col min="5" max="5" width="6.8515625" style="177" customWidth="1"/>
    <col min="6" max="6" width="19.57421875" style="177" customWidth="1"/>
    <col min="7" max="7" width="12.7109375" style="177" customWidth="1"/>
    <col min="8" max="9" width="11.57421875" style="177" customWidth="1"/>
    <col min="10" max="10" width="12.28125" style="177" customWidth="1"/>
    <col min="11" max="12" width="13.28125" style="177" customWidth="1"/>
    <col min="13" max="13" width="9.00390625" style="177" customWidth="1"/>
    <col min="14" max="14" width="8.00390625" style="177" customWidth="1"/>
    <col min="15" max="15" width="8.140625" style="177" customWidth="1"/>
    <col min="16" max="16384" width="9.140625" style="177" customWidth="1"/>
  </cols>
  <sheetData>
    <row r="1" spans="1:15" ht="12">
      <c r="A1" s="176" t="s">
        <v>333</v>
      </c>
      <c r="H1" s="177">
        <f>Version</f>
        <v>20</v>
      </c>
      <c r="M1" s="178" t="s">
        <v>160</v>
      </c>
      <c r="N1" s="179" t="str">
        <f>Name</f>
        <v>Sunny Day Hospice</v>
      </c>
      <c r="O1" s="180"/>
    </row>
    <row r="2" spans="7:15" s="181" customFormat="1" ht="12">
      <c r="G2" s="197" t="str">
        <f>'Pro Forma IS'!G2</f>
        <v>Year 1</v>
      </c>
      <c r="H2" s="197" t="str">
        <f>'Pro Forma IS'!H2</f>
        <v>Year 2</v>
      </c>
      <c r="I2" s="197" t="str">
        <f>'Pro Forma IS'!I2</f>
        <v>Year 3</v>
      </c>
      <c r="J2" s="197" t="str">
        <f>'Pro Forma IS'!J2</f>
        <v>Year 4</v>
      </c>
      <c r="K2" s="197" t="str">
        <f>'Pro Forma IS'!K2</f>
        <v>Year 5</v>
      </c>
      <c r="L2" s="182" t="s">
        <v>310</v>
      </c>
      <c r="M2" s="178" t="s">
        <v>161</v>
      </c>
      <c r="N2" s="179" t="str">
        <f>CON.Number</f>
        <v>XX-XXX</v>
      </c>
      <c r="O2" s="180"/>
    </row>
    <row r="3" spans="1:15" ht="10.5">
      <c r="A3" s="176" t="s">
        <v>1</v>
      </c>
      <c r="M3" s="178" t="s">
        <v>162</v>
      </c>
      <c r="N3" s="11" t="s">
        <v>167</v>
      </c>
      <c r="O3" s="183" t="str">
        <f>state</f>
        <v>GA</v>
      </c>
    </row>
    <row r="4" spans="2:15" ht="9.75">
      <c r="B4" s="177" t="s">
        <v>2</v>
      </c>
      <c r="G4" s="184">
        <f>'Pro Forma IS'!G4</f>
        <v>8</v>
      </c>
      <c r="H4" s="184">
        <f>'Pro Forma IS'!H4</f>
        <v>8</v>
      </c>
      <c r="I4" s="184">
        <f>'Pro Forma IS'!I4</f>
        <v>8</v>
      </c>
      <c r="J4" s="184">
        <f>'Pro Forma IS'!J4</f>
        <v>8</v>
      </c>
      <c r="K4" s="184">
        <f>'Pro Forma IS'!K4</f>
        <v>8</v>
      </c>
      <c r="L4" s="185"/>
      <c r="M4" s="178" t="s">
        <v>163</v>
      </c>
      <c r="N4" s="12">
        <v>1</v>
      </c>
      <c r="O4" s="186" t="str">
        <f>Submission.Date</f>
        <v>3/30/17</v>
      </c>
    </row>
    <row r="5" spans="2:12" ht="9.75">
      <c r="B5" s="177" t="s">
        <v>3</v>
      </c>
      <c r="G5" s="184">
        <f>'Pro Forma IS'!G5</f>
        <v>1</v>
      </c>
      <c r="H5" s="184">
        <f>'Pro Forma IS'!H5</f>
        <v>1</v>
      </c>
      <c r="I5" s="184">
        <f>'Pro Forma IS'!I5</f>
        <v>1</v>
      </c>
      <c r="J5" s="184">
        <f>'Pro Forma IS'!J5</f>
        <v>1</v>
      </c>
      <c r="K5" s="184">
        <f>'Pro Forma IS'!K5</f>
        <v>1</v>
      </c>
      <c r="L5" s="185"/>
    </row>
    <row r="6" spans="2:12" ht="9.75">
      <c r="B6" s="177" t="s">
        <v>319</v>
      </c>
      <c r="G6" s="184">
        <f>'Pro Forma IS'!G6</f>
        <v>2</v>
      </c>
      <c r="H6" s="184">
        <f>'Pro Forma IS'!H6</f>
        <v>2</v>
      </c>
      <c r="I6" s="184">
        <f>'Pro Forma IS'!I6</f>
        <v>2</v>
      </c>
      <c r="J6" s="184">
        <f>'Pro Forma IS'!J6</f>
        <v>2</v>
      </c>
      <c r="K6" s="184">
        <f>'Pro Forma IS'!K6</f>
        <v>2</v>
      </c>
      <c r="L6" s="185"/>
    </row>
    <row r="7" spans="2:12" ht="9.75">
      <c r="B7" s="177" t="s">
        <v>4</v>
      </c>
      <c r="G7" s="187">
        <f>'Pro Forma IS'!G7</f>
        <v>2920</v>
      </c>
      <c r="H7" s="187">
        <f>'Pro Forma IS'!H7</f>
        <v>2920</v>
      </c>
      <c r="I7" s="187">
        <f>'Pro Forma IS'!I7</f>
        <v>2920</v>
      </c>
      <c r="J7" s="187">
        <f>'Pro Forma IS'!J7</f>
        <v>2920</v>
      </c>
      <c r="K7" s="187">
        <f>'Pro Forma IS'!K7</f>
        <v>2920</v>
      </c>
      <c r="L7" s="188">
        <f>SUM(G7:K7)</f>
        <v>14600</v>
      </c>
    </row>
    <row r="8" spans="2:12" ht="9.75">
      <c r="B8" s="177" t="s">
        <v>5</v>
      </c>
      <c r="G8" s="187">
        <f>'Pro Forma IS'!G8</f>
        <v>365</v>
      </c>
      <c r="H8" s="187">
        <f>'Pro Forma IS'!H8</f>
        <v>365</v>
      </c>
      <c r="I8" s="187">
        <f>'Pro Forma IS'!I8</f>
        <v>365</v>
      </c>
      <c r="J8" s="187">
        <f>'Pro Forma IS'!J8</f>
        <v>365</v>
      </c>
      <c r="K8" s="187">
        <f>'Pro Forma IS'!K8</f>
        <v>365</v>
      </c>
      <c r="L8" s="188">
        <f>SUM(G8:K8)</f>
        <v>1825</v>
      </c>
    </row>
    <row r="9" spans="2:12" ht="9.75">
      <c r="B9" s="177" t="s">
        <v>320</v>
      </c>
      <c r="G9" s="187">
        <f>'Pro Forma IS'!G9</f>
        <v>730</v>
      </c>
      <c r="H9" s="187">
        <f>'Pro Forma IS'!H9</f>
        <v>730</v>
      </c>
      <c r="I9" s="187">
        <f>'Pro Forma IS'!I9</f>
        <v>730</v>
      </c>
      <c r="J9" s="187">
        <f>'Pro Forma IS'!J9</f>
        <v>730</v>
      </c>
      <c r="K9" s="187">
        <f>'Pro Forma IS'!K9</f>
        <v>730</v>
      </c>
      <c r="L9" s="188">
        <f>SUM(G9:K9)</f>
        <v>3650</v>
      </c>
    </row>
    <row r="10" spans="2:12" ht="9.75">
      <c r="B10" s="177" t="s">
        <v>209</v>
      </c>
      <c r="G10" s="187">
        <f>'Pro Forma IS'!G10</f>
        <v>365</v>
      </c>
      <c r="H10" s="187">
        <f>'Pro Forma IS'!H10</f>
        <v>365</v>
      </c>
      <c r="I10" s="187">
        <f>'Pro Forma IS'!I10</f>
        <v>365</v>
      </c>
      <c r="J10" s="187">
        <f>'Pro Forma IS'!J10</f>
        <v>365</v>
      </c>
      <c r="K10" s="187">
        <f>'Pro Forma IS'!K10</f>
        <v>365</v>
      </c>
      <c r="L10" s="188">
        <f>SUM(G10:K10)</f>
        <v>1825</v>
      </c>
    </row>
    <row r="12" ht="10.5">
      <c r="A12" s="176" t="s">
        <v>6</v>
      </c>
    </row>
    <row r="13" spans="2:15" ht="9.75">
      <c r="B13" s="177" t="s">
        <v>7</v>
      </c>
      <c r="G13" s="188">
        <f>'Pro Forma IS'!G13</f>
        <v>2880091.776</v>
      </c>
      <c r="H13" s="188">
        <f>'Pro Forma IS'!H13</f>
        <v>2908892.69376</v>
      </c>
      <c r="I13" s="188">
        <f>'Pro Forma IS'!I13</f>
        <v>2908892.69376</v>
      </c>
      <c r="J13" s="188">
        <f>'Pro Forma IS'!J13</f>
        <v>2908892.69376</v>
      </c>
      <c r="K13" s="188">
        <f>'Pro Forma IS'!K13</f>
        <v>2908892.69376</v>
      </c>
      <c r="L13" s="188">
        <f>AVERAGE(G13:K13)</f>
        <v>2903132.5102080004</v>
      </c>
      <c r="M13" s="188"/>
      <c r="N13" s="188"/>
      <c r="O13" s="188"/>
    </row>
    <row r="14" spans="2:15" ht="9.75">
      <c r="B14" s="177" t="s">
        <v>8</v>
      </c>
      <c r="G14" s="188">
        <f>'Pro Forma IS'!G14</f>
        <v>63736.3</v>
      </c>
      <c r="H14" s="188">
        <f>'Pro Forma IS'!H14</f>
        <v>64373.663</v>
      </c>
      <c r="I14" s="188">
        <f>'Pro Forma IS'!I14</f>
        <v>64373.663</v>
      </c>
      <c r="J14" s="188">
        <f>'Pro Forma IS'!J14</f>
        <v>64373.663</v>
      </c>
      <c r="K14" s="188">
        <f>'Pro Forma IS'!K14</f>
        <v>64373.663</v>
      </c>
      <c r="L14" s="188">
        <f aca="true" t="shared" si="0" ref="L14:L20">AVERAGE(G14:K14)</f>
        <v>64246.1904</v>
      </c>
      <c r="M14" s="188"/>
      <c r="N14" s="188"/>
      <c r="O14" s="188"/>
    </row>
    <row r="15" spans="2:15" ht="9.75">
      <c r="B15" s="177" t="s">
        <v>285</v>
      </c>
      <c r="G15" s="188">
        <f>'Pro Forma IS'!G15</f>
        <v>315205.82399999996</v>
      </c>
      <c r="H15" s="188">
        <f>'Pro Forma IS'!H15</f>
        <v>318357.88224</v>
      </c>
      <c r="I15" s="188">
        <f>'Pro Forma IS'!I15</f>
        <v>318357.88224</v>
      </c>
      <c r="J15" s="188">
        <f>'Pro Forma IS'!J15</f>
        <v>318357.88224</v>
      </c>
      <c r="K15" s="188">
        <f>'Pro Forma IS'!K15</f>
        <v>318357.88224</v>
      </c>
      <c r="L15" s="188">
        <f t="shared" si="0"/>
        <v>317727.47059199994</v>
      </c>
      <c r="M15" s="188"/>
      <c r="N15" s="188"/>
      <c r="O15" s="188"/>
    </row>
    <row r="16" spans="2:15" ht="9.75">
      <c r="B16" s="177" t="s">
        <v>9</v>
      </c>
      <c r="G16" s="188">
        <f>'Pro Forma IS'!G16</f>
        <v>-57601.83552</v>
      </c>
      <c r="H16" s="188">
        <f>'Pro Forma IS'!H16</f>
        <v>-58177.8538752</v>
      </c>
      <c r="I16" s="188">
        <f>'Pro Forma IS'!I16</f>
        <v>-58177.8538752</v>
      </c>
      <c r="J16" s="188">
        <f>'Pro Forma IS'!J16</f>
        <v>-58177.8538752</v>
      </c>
      <c r="K16" s="188">
        <f>'Pro Forma IS'!K16</f>
        <v>-58177.8538752</v>
      </c>
      <c r="L16" s="188">
        <f t="shared" si="0"/>
        <v>-58062.650204159996</v>
      </c>
      <c r="M16" s="188"/>
      <c r="N16" s="188"/>
      <c r="O16" s="188"/>
    </row>
    <row r="17" spans="2:15" ht="9.75">
      <c r="B17" s="177" t="s">
        <v>10</v>
      </c>
      <c r="G17" s="188">
        <f>'Pro Forma IS'!G17</f>
        <v>-1274.726</v>
      </c>
      <c r="H17" s="188">
        <f>'Pro Forma IS'!H17</f>
        <v>-1287.47326</v>
      </c>
      <c r="I17" s="188">
        <f>'Pro Forma IS'!I17</f>
        <v>-1287.47326</v>
      </c>
      <c r="J17" s="188">
        <f>'Pro Forma IS'!J17</f>
        <v>-1287.47326</v>
      </c>
      <c r="K17" s="188">
        <f>'Pro Forma IS'!K17</f>
        <v>-1287.47326</v>
      </c>
      <c r="L17" s="188">
        <f t="shared" si="0"/>
        <v>-1284.923808</v>
      </c>
      <c r="M17" s="188"/>
      <c r="N17" s="188"/>
      <c r="O17" s="188"/>
    </row>
    <row r="18" spans="2:15" ht="9.75">
      <c r="B18" s="177" t="s">
        <v>321</v>
      </c>
      <c r="G18" s="188">
        <f>'Pro Forma IS'!G18</f>
        <v>-31520.5824</v>
      </c>
      <c r="H18" s="188">
        <f>'Pro Forma IS'!H18</f>
        <v>-31835.788224000004</v>
      </c>
      <c r="I18" s="188">
        <f>'Pro Forma IS'!I18</f>
        <v>-31835.788224000004</v>
      </c>
      <c r="J18" s="188">
        <f>'Pro Forma IS'!J18</f>
        <v>-31835.788224000004</v>
      </c>
      <c r="K18" s="188">
        <f>'Pro Forma IS'!K18</f>
        <v>-31835.788224000004</v>
      </c>
      <c r="L18" s="188">
        <f t="shared" si="0"/>
        <v>-31772.747059200006</v>
      </c>
      <c r="M18" s="188"/>
      <c r="N18" s="188"/>
      <c r="O18" s="188"/>
    </row>
    <row r="19" spans="2:15" ht="9.75">
      <c r="B19" s="177" t="s">
        <v>131</v>
      </c>
      <c r="G19" s="188">
        <f>'Pro Forma IS'!G19</f>
        <v>87600</v>
      </c>
      <c r="H19" s="188">
        <f>'Pro Forma IS'!H19</f>
        <v>87600</v>
      </c>
      <c r="I19" s="188">
        <f>'Pro Forma IS'!I19</f>
        <v>87600</v>
      </c>
      <c r="J19" s="188">
        <f>'Pro Forma IS'!J19</f>
        <v>87600</v>
      </c>
      <c r="K19" s="188">
        <f>'Pro Forma IS'!K19</f>
        <v>87600</v>
      </c>
      <c r="L19" s="188">
        <f t="shared" si="0"/>
        <v>87600</v>
      </c>
      <c r="M19" s="188"/>
      <c r="N19" s="188"/>
      <c r="O19" s="188"/>
    </row>
    <row r="20" spans="3:15" ht="9.75">
      <c r="C20" s="193" t="s">
        <v>11</v>
      </c>
      <c r="G20" s="226">
        <f>SUM(G13:G19)</f>
        <v>3256236.7560799997</v>
      </c>
      <c r="H20" s="226">
        <f>SUM(H13:H19)</f>
        <v>3287923.123640801</v>
      </c>
      <c r="I20" s="226">
        <f>SUM(I13:I19)</f>
        <v>3287923.123640801</v>
      </c>
      <c r="J20" s="226">
        <f>SUM(J13:J19)</f>
        <v>3287923.123640801</v>
      </c>
      <c r="K20" s="226">
        <f>SUM(K13:K19)</f>
        <v>3287923.123640801</v>
      </c>
      <c r="L20" s="226">
        <f t="shared" si="0"/>
        <v>3281585.850128641</v>
      </c>
      <c r="M20" s="191"/>
      <c r="N20" s="191"/>
      <c r="O20" s="191"/>
    </row>
    <row r="21" spans="7:15" ht="9.75">
      <c r="G21" s="188"/>
      <c r="H21" s="188"/>
      <c r="I21" s="188"/>
      <c r="J21" s="188"/>
      <c r="K21" s="188"/>
      <c r="L21" s="188"/>
      <c r="M21" s="188"/>
      <c r="N21" s="188"/>
      <c r="O21" s="188"/>
    </row>
    <row r="22" spans="1:15" ht="10.5">
      <c r="A22" s="176" t="s">
        <v>12</v>
      </c>
      <c r="G22" s="188"/>
      <c r="H22" s="188"/>
      <c r="I22" s="188"/>
      <c r="J22" s="188"/>
      <c r="K22" s="188"/>
      <c r="L22" s="188"/>
      <c r="M22" s="188"/>
      <c r="N22" s="188"/>
      <c r="O22" s="188"/>
    </row>
    <row r="23" spans="2:15" ht="9.75">
      <c r="B23" s="177" t="s">
        <v>13</v>
      </c>
      <c r="G23" s="189"/>
      <c r="H23" s="189"/>
      <c r="I23" s="189"/>
      <c r="J23" s="189"/>
      <c r="K23" s="189"/>
      <c r="L23" s="189"/>
      <c r="M23" s="188"/>
      <c r="N23" s="188"/>
      <c r="O23" s="188"/>
    </row>
    <row r="24" spans="3:15" ht="9.75">
      <c r="C24" s="177" t="s">
        <v>48</v>
      </c>
      <c r="G24" s="188">
        <f>Staffing!F$233</f>
        <v>1057450.8506870228</v>
      </c>
      <c r="H24" s="188">
        <f>Staffing!G$233</f>
        <v>1089174.3762076336</v>
      </c>
      <c r="I24" s="188">
        <f>Staffing!H$233</f>
        <v>1120897.9017282445</v>
      </c>
      <c r="J24" s="188">
        <f>Staffing!I$233</f>
        <v>1152621.4272488551</v>
      </c>
      <c r="K24" s="188">
        <f>Staffing!J$233</f>
        <v>1184344.9527694657</v>
      </c>
      <c r="L24" s="188">
        <f>AVERAGE(G24:K24)</f>
        <v>1120897.9017282443</v>
      </c>
      <c r="M24" s="188"/>
      <c r="N24" s="188"/>
      <c r="O24" s="188"/>
    </row>
    <row r="25" spans="3:15" ht="9.75">
      <c r="C25" s="177" t="s">
        <v>49</v>
      </c>
      <c r="G25" s="188">
        <f>Staffing!F$234</f>
        <v>0</v>
      </c>
      <c r="H25" s="188">
        <f>Staffing!G$234</f>
        <v>0</v>
      </c>
      <c r="I25" s="188">
        <f>Staffing!H$234</f>
        <v>0</v>
      </c>
      <c r="J25" s="188">
        <f>Staffing!I$234</f>
        <v>0</v>
      </c>
      <c r="K25" s="188">
        <f>Staffing!J$234</f>
        <v>0</v>
      </c>
      <c r="L25" s="188">
        <f aca="true" t="shared" si="1" ref="L25:L32">AVERAGE(G25:K25)</f>
        <v>0</v>
      </c>
      <c r="M25" s="188"/>
      <c r="N25" s="188"/>
      <c r="O25" s="188"/>
    </row>
    <row r="26" spans="3:15" ht="9.75">
      <c r="C26" s="177" t="s">
        <v>50</v>
      </c>
      <c r="G26" s="188">
        <f>Staffing!F$235</f>
        <v>396508.7169465649</v>
      </c>
      <c r="H26" s="188">
        <f>Staffing!G$235</f>
        <v>408403.9784549619</v>
      </c>
      <c r="I26" s="188">
        <f>Staffing!H$235</f>
        <v>420299.23996335873</v>
      </c>
      <c r="J26" s="188">
        <f>Staffing!I$235</f>
        <v>432194.50147175574</v>
      </c>
      <c r="K26" s="188">
        <f>Staffing!J$235</f>
        <v>444089.76298015274</v>
      </c>
      <c r="L26" s="188">
        <f t="shared" si="1"/>
        <v>420299.23996335885</v>
      </c>
      <c r="M26" s="188"/>
      <c r="N26" s="188"/>
      <c r="O26" s="188"/>
    </row>
    <row r="27" spans="3:15" ht="9.75">
      <c r="C27" s="177" t="s">
        <v>51</v>
      </c>
      <c r="G27" s="228">
        <f>Staffing!F$236</f>
        <v>86541.84549618319</v>
      </c>
      <c r="H27" s="228">
        <f>Staffing!G$236</f>
        <v>89138.10086106868</v>
      </c>
      <c r="I27" s="228">
        <f>Staffing!H$236</f>
        <v>91734.3562259542</v>
      </c>
      <c r="J27" s="228">
        <f>Staffing!I$236</f>
        <v>94330.61159083969</v>
      </c>
      <c r="K27" s="228">
        <f>Staffing!J$236</f>
        <v>96926.86695572519</v>
      </c>
      <c r="L27" s="188">
        <f t="shared" si="1"/>
        <v>91734.3562259542</v>
      </c>
      <c r="M27" s="188"/>
      <c r="N27" s="188"/>
      <c r="O27" s="188"/>
    </row>
    <row r="28" spans="3:15" ht="9.75">
      <c r="C28" s="177" t="s">
        <v>52</v>
      </c>
      <c r="G28" s="188">
        <f>Staffing!F$237</f>
        <v>0</v>
      </c>
      <c r="H28" s="188">
        <f>Staffing!G$237</f>
        <v>0</v>
      </c>
      <c r="I28" s="188">
        <f>Staffing!H$237</f>
        <v>0</v>
      </c>
      <c r="J28" s="188">
        <f>Staffing!I$237</f>
        <v>0</v>
      </c>
      <c r="K28" s="188">
        <f>Staffing!J$237</f>
        <v>0</v>
      </c>
      <c r="L28" s="188">
        <f t="shared" si="1"/>
        <v>0</v>
      </c>
      <c r="M28" s="188"/>
      <c r="N28" s="188"/>
      <c r="O28" s="188"/>
    </row>
    <row r="29" spans="3:15" ht="9.75">
      <c r="C29" s="177" t="s">
        <v>53</v>
      </c>
      <c r="G29" s="188">
        <f>Staffing!F$238</f>
        <v>110298.43053435115</v>
      </c>
      <c r="H29" s="188">
        <f>Staffing!G$238</f>
        <v>113607.38345038169</v>
      </c>
      <c r="I29" s="188">
        <f>Staffing!H$238</f>
        <v>116916.33636641222</v>
      </c>
      <c r="J29" s="188">
        <f>Staffing!I$238</f>
        <v>120225.28928244275</v>
      </c>
      <c r="K29" s="188">
        <f>Staffing!J$238</f>
        <v>123534.2421984733</v>
      </c>
      <c r="L29" s="188">
        <f t="shared" si="1"/>
        <v>116916.33636641223</v>
      </c>
      <c r="M29" s="188"/>
      <c r="N29" s="188"/>
      <c r="O29" s="188"/>
    </row>
    <row r="30" spans="3:15" ht="9.75">
      <c r="C30" s="177" t="s">
        <v>327</v>
      </c>
      <c r="G30" s="188">
        <f>Staffing!F$239</f>
        <v>18680.02906870229</v>
      </c>
      <c r="H30" s="188">
        <f>Staffing!G$239</f>
        <v>19240.429940763363</v>
      </c>
      <c r="I30" s="188">
        <f>Staffing!H$239</f>
        <v>19800.83081282443</v>
      </c>
      <c r="J30" s="188">
        <f>Staffing!I$239</f>
        <v>20361.2316848855</v>
      </c>
      <c r="K30" s="188">
        <f>Staffing!J$239</f>
        <v>20921.63255694657</v>
      </c>
      <c r="L30" s="188">
        <f t="shared" si="1"/>
        <v>19800.83081282443</v>
      </c>
      <c r="M30" s="188"/>
      <c r="N30" s="188"/>
      <c r="O30" s="188"/>
    </row>
    <row r="31" spans="3:15" ht="9.75">
      <c r="C31" s="177" t="s">
        <v>47</v>
      </c>
      <c r="G31" s="188">
        <f>Staffing!F$240</f>
        <v>127012.88500763358</v>
      </c>
      <c r="H31" s="188">
        <f>Staffing!G$240</f>
        <v>130823.27155786258</v>
      </c>
      <c r="I31" s="188">
        <f>Staffing!H$240</f>
        <v>134633.6581080916</v>
      </c>
      <c r="J31" s="188">
        <f>Staffing!I$240</f>
        <v>138444.0446583206</v>
      </c>
      <c r="K31" s="188">
        <f>Staffing!J$240</f>
        <v>142254.43120854962</v>
      </c>
      <c r="L31" s="188">
        <f t="shared" si="1"/>
        <v>134633.65810809162</v>
      </c>
      <c r="M31" s="188"/>
      <c r="N31" s="188"/>
      <c r="O31" s="188"/>
    </row>
    <row r="32" spans="3:15" ht="9.75">
      <c r="C32" s="177" t="s">
        <v>54</v>
      </c>
      <c r="G32" s="188">
        <f>Staffing!F$241</f>
        <v>0</v>
      </c>
      <c r="H32" s="188">
        <f>Staffing!G$241</f>
        <v>0</v>
      </c>
      <c r="I32" s="188">
        <f>Staffing!H$241</f>
        <v>0</v>
      </c>
      <c r="J32" s="188">
        <f>Staffing!I$241</f>
        <v>0</v>
      </c>
      <c r="K32" s="188">
        <f>Staffing!J$241</f>
        <v>0</v>
      </c>
      <c r="L32" s="188">
        <f t="shared" si="1"/>
        <v>0</v>
      </c>
      <c r="M32" s="188"/>
      <c r="N32" s="188"/>
      <c r="O32" s="188"/>
    </row>
    <row r="33" spans="4:15" ht="10.5" thickBot="1">
      <c r="D33" s="193" t="s">
        <v>332</v>
      </c>
      <c r="G33" s="227">
        <f aca="true" t="shared" si="2" ref="G33:L33">SUM(G24:G32)</f>
        <v>1796492.757740458</v>
      </c>
      <c r="H33" s="227">
        <f t="shared" si="2"/>
        <v>1850387.5404726719</v>
      </c>
      <c r="I33" s="227">
        <f t="shared" si="2"/>
        <v>1904282.3232048857</v>
      </c>
      <c r="J33" s="227">
        <f t="shared" si="2"/>
        <v>1958177.1059370995</v>
      </c>
      <c r="K33" s="227">
        <f t="shared" si="2"/>
        <v>2012071.8886693132</v>
      </c>
      <c r="L33" s="227">
        <f t="shared" si="2"/>
        <v>1904282.3232048857</v>
      </c>
      <c r="M33" s="188"/>
      <c r="N33" s="188"/>
      <c r="O33" s="188"/>
    </row>
    <row r="34" spans="7:15" ht="9.75">
      <c r="G34" s="189"/>
      <c r="H34" s="189"/>
      <c r="I34" s="189"/>
      <c r="J34" s="189"/>
      <c r="K34" s="189"/>
      <c r="L34" s="189"/>
      <c r="M34" s="188"/>
      <c r="N34" s="188"/>
      <c r="O34" s="188"/>
    </row>
    <row r="35" spans="2:15" ht="9.75">
      <c r="B35" s="177" t="s">
        <v>334</v>
      </c>
      <c r="G35" s="189"/>
      <c r="H35" s="189"/>
      <c r="I35" s="189"/>
      <c r="J35" s="189"/>
      <c r="K35" s="189"/>
      <c r="L35" s="189"/>
      <c r="M35" s="188"/>
      <c r="N35" s="188"/>
      <c r="O35" s="188"/>
    </row>
    <row r="36" spans="3:15" ht="9.75">
      <c r="C36" s="177" t="str">
        <f>'Patient Related'!B51</f>
        <v>Medications</v>
      </c>
      <c r="G36" s="188">
        <f>('Patient Related'!H15+'Patient Related'!H33+'Patient Related'!H51)</f>
        <v>100375</v>
      </c>
      <c r="H36" s="188">
        <f>('Patient Related'!I15+'Patient Related'!I33+'Patient Related'!I51)</f>
        <v>103386.25</v>
      </c>
      <c r="I36" s="188">
        <f>('Patient Related'!J15+'Patient Related'!J33+'Patient Related'!J51)</f>
        <v>106397.5</v>
      </c>
      <c r="J36" s="188">
        <f>('Patient Related'!K15+'Patient Related'!K33+'Patient Related'!K51)</f>
        <v>109408.75</v>
      </c>
      <c r="K36" s="188">
        <f>('Patient Related'!L15+'Patient Related'!L33+'Patient Related'!L51)</f>
        <v>112420.00000000001</v>
      </c>
      <c r="L36" s="188">
        <f aca="true" t="shared" si="3" ref="L36:L48">AVERAGE(G36:K36)</f>
        <v>106397.5</v>
      </c>
      <c r="M36" s="188"/>
      <c r="N36" s="188"/>
      <c r="O36" s="188"/>
    </row>
    <row r="37" spans="3:15" ht="9.75">
      <c r="C37" s="177" t="str">
        <f>'Patient Related'!B52</f>
        <v>Therapies</v>
      </c>
      <c r="G37" s="188">
        <f>('Patient Related'!H16+'Patient Related'!H34+'Patient Related'!H52)</f>
        <v>11282.150000000001</v>
      </c>
      <c r="H37" s="188">
        <f>('Patient Related'!I16+'Patient Related'!I34+'Patient Related'!I52)</f>
        <v>11620.614500000001</v>
      </c>
      <c r="I37" s="188">
        <f>('Patient Related'!J16+'Patient Related'!J34+'Patient Related'!J52)</f>
        <v>11959.079000000002</v>
      </c>
      <c r="J37" s="188">
        <f>('Patient Related'!K16+'Patient Related'!K34+'Patient Related'!K52)</f>
        <v>12297.543500000003</v>
      </c>
      <c r="K37" s="188">
        <f>('Patient Related'!L16+'Patient Related'!L34+'Patient Related'!L52)</f>
        <v>12636.008000000003</v>
      </c>
      <c r="L37" s="188">
        <f t="shared" si="3"/>
        <v>11959.079000000002</v>
      </c>
      <c r="M37" s="188"/>
      <c r="N37" s="188"/>
      <c r="O37" s="188"/>
    </row>
    <row r="38" spans="3:15" ht="9.75">
      <c r="C38" s="177" t="str">
        <f>'Patient Related'!B53</f>
        <v>Medical Supplies</v>
      </c>
      <c r="G38" s="188">
        <f>('Patient Related'!H17+'Patient Related'!H35+'Patient Related'!H53)</f>
        <v>48180</v>
      </c>
      <c r="H38" s="188">
        <f>('Patient Related'!I17+'Patient Related'!I35+'Patient Related'!I53)</f>
        <v>49625.40000000001</v>
      </c>
      <c r="I38" s="188">
        <f>('Patient Related'!J17+'Patient Related'!J35+'Patient Related'!J53)</f>
        <v>51070.8</v>
      </c>
      <c r="J38" s="188">
        <f>('Patient Related'!K17+'Patient Related'!K35+'Patient Related'!K53)</f>
        <v>52516.200000000004</v>
      </c>
      <c r="K38" s="188">
        <f>('Patient Related'!L17+'Patient Related'!L35+'Patient Related'!L53)</f>
        <v>53961.600000000006</v>
      </c>
      <c r="L38" s="188">
        <f t="shared" si="3"/>
        <v>51070.8</v>
      </c>
      <c r="M38" s="188"/>
      <c r="N38" s="188"/>
      <c r="O38" s="188"/>
    </row>
    <row r="39" spans="3:15" ht="9.75">
      <c r="C39" s="177" t="str">
        <f>'Patient Related'!B54</f>
        <v>Lab</v>
      </c>
      <c r="G39" s="188">
        <f>('Patient Related'!H18+'Patient Related'!H36+'Patient Related'!H54)</f>
        <v>2007.5</v>
      </c>
      <c r="H39" s="188">
        <f>('Patient Related'!I18+'Patient Related'!I36+'Patient Related'!I54)</f>
        <v>2067.725</v>
      </c>
      <c r="I39" s="188">
        <f>('Patient Related'!J18+'Patient Related'!J36+'Patient Related'!J54)</f>
        <v>2127.9500000000003</v>
      </c>
      <c r="J39" s="188">
        <f>('Patient Related'!K18+'Patient Related'!K36+'Patient Related'!K54)</f>
        <v>2188.175</v>
      </c>
      <c r="K39" s="188">
        <f>('Patient Related'!L18+'Patient Related'!L36+'Patient Related'!L54)</f>
        <v>2248.4</v>
      </c>
      <c r="L39" s="188">
        <f t="shared" si="3"/>
        <v>2127.95</v>
      </c>
      <c r="M39" s="188"/>
      <c r="N39" s="188"/>
      <c r="O39" s="188"/>
    </row>
    <row r="40" spans="3:15" ht="9.75">
      <c r="C40" s="177" t="str">
        <f>'Patient Related'!B55</f>
        <v>DME</v>
      </c>
      <c r="G40" s="188">
        <f>('Patient Related'!H19+'Patient Related'!H37+'Patient Related'!H55)</f>
        <v>14052.5</v>
      </c>
      <c r="H40" s="188">
        <f>('Patient Related'!I19+'Patient Related'!I37+'Patient Related'!I55)</f>
        <v>14474.075</v>
      </c>
      <c r="I40" s="188">
        <f>('Patient Related'!J19+'Patient Related'!J37+'Patient Related'!J55)</f>
        <v>14895.650000000001</v>
      </c>
      <c r="J40" s="188">
        <f>('Patient Related'!K19+'Patient Related'!K37+'Patient Related'!K55)</f>
        <v>15317.225000000002</v>
      </c>
      <c r="K40" s="188">
        <f>('Patient Related'!L19+'Patient Related'!L37+'Patient Related'!L55)</f>
        <v>15738.800000000001</v>
      </c>
      <c r="L40" s="188">
        <f t="shared" si="3"/>
        <v>14895.650000000003</v>
      </c>
      <c r="M40" s="188"/>
      <c r="N40" s="188"/>
      <c r="O40" s="188"/>
    </row>
    <row r="41" spans="3:15" ht="9.75">
      <c r="C41" s="177" t="str">
        <f>'Patient Related'!B56</f>
        <v>Linen</v>
      </c>
      <c r="G41" s="188">
        <f>('Patient Related'!H20+'Patient Related'!H38+'Patient Related'!H56)</f>
        <v>25495.25</v>
      </c>
      <c r="H41" s="188">
        <f>('Patient Related'!I20+'Patient Related'!I38+'Patient Related'!I56)</f>
        <v>26260.107500000006</v>
      </c>
      <c r="I41" s="188">
        <f>('Patient Related'!J20+'Patient Related'!J38+'Patient Related'!J56)</f>
        <v>27024.965</v>
      </c>
      <c r="J41" s="188">
        <f>('Patient Related'!K20+'Patient Related'!K38+'Patient Related'!K56)</f>
        <v>27789.822500000002</v>
      </c>
      <c r="K41" s="188">
        <f>('Patient Related'!L20+'Patient Related'!L38+'Patient Related'!L56)</f>
        <v>28554.68</v>
      </c>
      <c r="L41" s="188">
        <f t="shared" si="3"/>
        <v>27024.965000000004</v>
      </c>
      <c r="M41" s="188"/>
      <c r="N41" s="188"/>
      <c r="O41" s="188"/>
    </row>
    <row r="42" spans="3:15" ht="9.75">
      <c r="C42" s="177" t="str">
        <f>'Patient Related'!B57</f>
        <v>Ambulance</v>
      </c>
      <c r="G42" s="188">
        <f>('Patient Related'!H21+'Patient Related'!H39+'Patient Related'!H57)</f>
        <v>27502.75</v>
      </c>
      <c r="H42" s="188">
        <f>('Patient Related'!I21+'Patient Related'!I39+'Patient Related'!I57)</f>
        <v>28327.8325</v>
      </c>
      <c r="I42" s="188">
        <f>('Patient Related'!J21+'Patient Related'!J39+'Patient Related'!J57)</f>
        <v>29152.915</v>
      </c>
      <c r="J42" s="188">
        <f>('Patient Related'!K21+'Patient Related'!K39+'Patient Related'!K57)</f>
        <v>29977.997499999998</v>
      </c>
      <c r="K42" s="188">
        <f>('Patient Related'!L21+'Patient Related'!L39+'Patient Related'!L57)</f>
        <v>30803.08</v>
      </c>
      <c r="L42" s="188">
        <f t="shared" si="3"/>
        <v>29152.915</v>
      </c>
      <c r="M42" s="188"/>
      <c r="N42" s="188"/>
      <c r="O42" s="188"/>
    </row>
    <row r="43" spans="3:15" ht="9.75">
      <c r="C43" s="177" t="str">
        <f>'Patient Related'!B58</f>
        <v>Bio Hazardous</v>
      </c>
      <c r="G43" s="188">
        <f>('Patient Related'!H22+'Patient Related'!H40+'Patient Related'!H58)</f>
        <v>3569.335</v>
      </c>
      <c r="H43" s="188">
        <f>('Patient Related'!I22+'Patient Related'!I40+'Patient Related'!I58)</f>
        <v>3676.41505</v>
      </c>
      <c r="I43" s="188">
        <f>('Patient Related'!J22+'Patient Related'!J40+'Patient Related'!J58)</f>
        <v>3783.4951</v>
      </c>
      <c r="J43" s="188">
        <f>('Patient Related'!K22+'Patient Related'!K40+'Patient Related'!K58)</f>
        <v>3890.5751500000006</v>
      </c>
      <c r="K43" s="188">
        <f>('Patient Related'!L22+'Patient Related'!L40+'Patient Related'!L58)</f>
        <v>3997.655200000001</v>
      </c>
      <c r="L43" s="188">
        <f t="shared" si="3"/>
        <v>3783.4951</v>
      </c>
      <c r="M43" s="188"/>
      <c r="N43" s="188"/>
      <c r="O43" s="188"/>
    </row>
    <row r="44" spans="3:15" ht="9.75">
      <c r="C44" s="177" t="str">
        <f>'Patient Related'!B59</f>
        <v>Dietary</v>
      </c>
      <c r="G44" s="188">
        <f>('Patient Related'!H23+'Patient Related'!H41+'Patient Related'!H59)</f>
        <v>7026.25</v>
      </c>
      <c r="H44" s="188">
        <f>('Patient Related'!I23+'Patient Related'!I41+'Patient Related'!I59)</f>
        <v>7237.0375</v>
      </c>
      <c r="I44" s="188">
        <f>('Patient Related'!J23+'Patient Related'!J41+'Patient Related'!J59)</f>
        <v>7447.825000000001</v>
      </c>
      <c r="J44" s="188">
        <f>('Patient Related'!K23+'Patient Related'!K41+'Patient Related'!K59)</f>
        <v>7658.612500000001</v>
      </c>
      <c r="K44" s="188">
        <f>('Patient Related'!L23+'Patient Related'!L41+'Patient Related'!L59)</f>
        <v>7869.400000000001</v>
      </c>
      <c r="L44" s="188">
        <f t="shared" si="3"/>
        <v>7447.825000000002</v>
      </c>
      <c r="M44" s="188"/>
      <c r="N44" s="188"/>
      <c r="O44" s="188"/>
    </row>
    <row r="45" spans="3:15" ht="9.75">
      <c r="C45" s="177" t="str">
        <f>'Patient Related'!B60</f>
        <v>Oxygen</v>
      </c>
      <c r="G45" s="188">
        <f>('Patient Related'!H24+'Patient Related'!H42+'Patient Related'!H60)</f>
        <v>14052.5</v>
      </c>
      <c r="H45" s="188">
        <f>('Patient Related'!I24+'Patient Related'!I42+'Patient Related'!I60)</f>
        <v>14474.075</v>
      </c>
      <c r="I45" s="188">
        <f>('Patient Related'!J24+'Patient Related'!J42+'Patient Related'!J60)</f>
        <v>14895.650000000001</v>
      </c>
      <c r="J45" s="188">
        <f>('Patient Related'!K24+'Patient Related'!K42+'Patient Related'!K60)</f>
        <v>15317.225000000002</v>
      </c>
      <c r="K45" s="188">
        <f>('Patient Related'!L24+'Patient Related'!L42+'Patient Related'!L60)</f>
        <v>15738.800000000001</v>
      </c>
      <c r="L45" s="188">
        <f t="shared" si="3"/>
        <v>14895.650000000003</v>
      </c>
      <c r="M45" s="188"/>
      <c r="N45" s="188"/>
      <c r="O45" s="188"/>
    </row>
    <row r="46" spans="3:15" ht="9.75">
      <c r="C46" s="177" t="str">
        <f>'Patient Related'!B61</f>
        <v>Food</v>
      </c>
      <c r="G46" s="188">
        <f>('Patient Related'!H25+'Patient Related'!H43+'Patient Related'!H61)</f>
        <v>52195</v>
      </c>
      <c r="H46" s="188">
        <f>('Patient Related'!I25+'Patient Related'!I43+'Patient Related'!I61)</f>
        <v>53760.850000000006</v>
      </c>
      <c r="I46" s="188">
        <f>('Patient Related'!J25+'Patient Related'!J43+'Patient Related'!J61)</f>
        <v>55326.7</v>
      </c>
      <c r="J46" s="188">
        <f>('Patient Related'!K25+'Patient Related'!K43+'Patient Related'!K61)</f>
        <v>56892.55</v>
      </c>
      <c r="K46" s="188">
        <f>('Patient Related'!L25+'Patient Related'!L43+'Patient Related'!L61)</f>
        <v>58458.40000000001</v>
      </c>
      <c r="L46" s="188">
        <f t="shared" si="3"/>
        <v>55326.7</v>
      </c>
      <c r="M46" s="188"/>
      <c r="N46" s="188"/>
      <c r="O46" s="188"/>
    </row>
    <row r="47" spans="3:15" ht="9.75">
      <c r="C47" s="177" t="str">
        <f>'Patient Related'!B62</f>
        <v>Imaging</v>
      </c>
      <c r="G47" s="188">
        <f>('Patient Related'!H26+'Patient Related'!H44+'Patient Related'!H62)</f>
        <v>2007.5</v>
      </c>
      <c r="H47" s="188">
        <f>('Patient Related'!I26+'Patient Related'!I44+'Patient Related'!I62)</f>
        <v>2067.725</v>
      </c>
      <c r="I47" s="188">
        <f>('Patient Related'!J26+'Patient Related'!J44+'Patient Related'!J62)</f>
        <v>2127.9500000000003</v>
      </c>
      <c r="J47" s="188">
        <f>('Patient Related'!K26+'Patient Related'!K44+'Patient Related'!K62)</f>
        <v>2188.175</v>
      </c>
      <c r="K47" s="188">
        <f>('Patient Related'!L26+'Patient Related'!L44+'Patient Related'!L62)</f>
        <v>2248.4</v>
      </c>
      <c r="L47" s="188">
        <f t="shared" si="3"/>
        <v>2127.95</v>
      </c>
      <c r="M47" s="188"/>
      <c r="N47" s="188"/>
      <c r="O47" s="188"/>
    </row>
    <row r="48" spans="3:15" ht="9.75">
      <c r="C48" s="177" t="str">
        <f>'Patient Related'!B63</f>
        <v>Other</v>
      </c>
      <c r="G48" s="188">
        <f>('Patient Related'!H27+'Patient Related'!H45+'Patient Related'!H63)</f>
        <v>13048.75</v>
      </c>
      <c r="H48" s="188">
        <f>('Patient Related'!I27+'Patient Related'!I45+'Patient Related'!I63)</f>
        <v>13440.212500000001</v>
      </c>
      <c r="I48" s="188">
        <f>('Patient Related'!J27+'Patient Related'!J45+'Patient Related'!J63)</f>
        <v>13831.675</v>
      </c>
      <c r="J48" s="188">
        <f>('Patient Related'!K27+'Patient Related'!K45+'Patient Related'!K63)</f>
        <v>14223.1375</v>
      </c>
      <c r="K48" s="188">
        <f>('Patient Related'!L27+'Patient Related'!L45+'Patient Related'!L63)</f>
        <v>14614.600000000002</v>
      </c>
      <c r="L48" s="188">
        <f t="shared" si="3"/>
        <v>13831.675</v>
      </c>
      <c r="M48" s="188"/>
      <c r="N48" s="188"/>
      <c r="O48" s="188"/>
    </row>
    <row r="49" spans="4:15" ht="10.5" thickBot="1">
      <c r="D49" s="193" t="s">
        <v>335</v>
      </c>
      <c r="G49" s="227">
        <f aca="true" t="shared" si="4" ref="G49:L49">SUM(G36:G48)</f>
        <v>320794.485</v>
      </c>
      <c r="H49" s="227">
        <f t="shared" si="4"/>
        <v>330418.31955</v>
      </c>
      <c r="I49" s="227">
        <f t="shared" si="4"/>
        <v>340042.15410000004</v>
      </c>
      <c r="J49" s="227">
        <f t="shared" si="4"/>
        <v>349665.98864999996</v>
      </c>
      <c r="K49" s="227">
        <f t="shared" si="4"/>
        <v>359289.8232</v>
      </c>
      <c r="L49" s="227">
        <f t="shared" si="4"/>
        <v>340042.15410000004</v>
      </c>
      <c r="M49" s="188"/>
      <c r="N49" s="188"/>
      <c r="O49" s="188"/>
    </row>
    <row r="50" spans="7:15" ht="10.5">
      <c r="G50" s="229"/>
      <c r="H50" s="229"/>
      <c r="I50" s="229"/>
      <c r="J50" s="229"/>
      <c r="K50" s="229"/>
      <c r="L50" s="229"/>
      <c r="M50" s="188"/>
      <c r="N50" s="188"/>
      <c r="O50" s="188"/>
    </row>
    <row r="51" spans="3:15" ht="10.5">
      <c r="C51" s="177" t="s">
        <v>396</v>
      </c>
      <c r="G51" s="229">
        <f>G33+G49</f>
        <v>2117287.242740458</v>
      </c>
      <c r="H51" s="229">
        <f>H33+H49</f>
        <v>2180805.860022672</v>
      </c>
      <c r="I51" s="229">
        <f>I33+I49</f>
        <v>2244324.4773048856</v>
      </c>
      <c r="J51" s="229">
        <f>J33+J49</f>
        <v>2307843.0945870997</v>
      </c>
      <c r="K51" s="229">
        <f>K33+K49</f>
        <v>2371361.7118693134</v>
      </c>
      <c r="L51" s="284">
        <f>AVERAGE(G51:K51)</f>
        <v>2244324.4773048856</v>
      </c>
      <c r="M51" s="188"/>
      <c r="N51" s="188"/>
      <c r="O51" s="188"/>
    </row>
    <row r="52" spans="7:15" ht="10.5">
      <c r="G52" s="229"/>
      <c r="H52" s="229"/>
      <c r="I52" s="229"/>
      <c r="J52" s="229"/>
      <c r="K52" s="229"/>
      <c r="L52" s="229"/>
      <c r="M52" s="188"/>
      <c r="N52" s="188"/>
      <c r="O52" s="188"/>
    </row>
    <row r="53" spans="2:15" ht="10.5" thickBot="1">
      <c r="B53" s="176" t="s">
        <v>182</v>
      </c>
      <c r="G53" s="232">
        <f aca="true" t="shared" si="5" ref="G53:L53">G20-G51</f>
        <v>1138949.5133395419</v>
      </c>
      <c r="H53" s="232">
        <f t="shared" si="5"/>
        <v>1107117.2636181288</v>
      </c>
      <c r="I53" s="232">
        <f t="shared" si="5"/>
        <v>1043598.6463359152</v>
      </c>
      <c r="J53" s="232">
        <f t="shared" si="5"/>
        <v>980080.0290537011</v>
      </c>
      <c r="K53" s="232">
        <f t="shared" si="5"/>
        <v>916561.4117714874</v>
      </c>
      <c r="L53" s="232">
        <f t="shared" si="5"/>
        <v>1037261.3728237553</v>
      </c>
      <c r="M53" s="188"/>
      <c r="N53" s="188"/>
      <c r="O53" s="188"/>
    </row>
    <row r="54" spans="7:15" ht="9.75">
      <c r="G54" s="189"/>
      <c r="H54" s="189"/>
      <c r="I54" s="189"/>
      <c r="J54" s="189"/>
      <c r="K54" s="189"/>
      <c r="L54" s="189"/>
      <c r="M54" s="188"/>
      <c r="N54" s="188"/>
      <c r="O54" s="188"/>
    </row>
    <row r="55" spans="2:15" ht="9.75">
      <c r="B55" s="177" t="s">
        <v>16</v>
      </c>
      <c r="G55" s="189"/>
      <c r="H55" s="189"/>
      <c r="I55" s="189"/>
      <c r="J55" s="189"/>
      <c r="K55" s="189"/>
      <c r="L55" s="189"/>
      <c r="M55" s="188"/>
      <c r="N55" s="188"/>
      <c r="O55" s="188"/>
    </row>
    <row r="56" spans="3:15" ht="9.75">
      <c r="C56" s="177" t="str">
        <f>Operations!B14</f>
        <v>Utilities (per sq. ft.)</v>
      </c>
      <c r="G56" s="188">
        <f>Operations!F14</f>
        <v>43200</v>
      </c>
      <c r="H56" s="188">
        <f>Operations!G14</f>
        <v>44496</v>
      </c>
      <c r="I56" s="188">
        <f>Operations!H14</f>
        <v>45792</v>
      </c>
      <c r="J56" s="188">
        <f>Operations!I14</f>
        <v>47088</v>
      </c>
      <c r="K56" s="188">
        <f>Operations!J14</f>
        <v>48384.00000000001</v>
      </c>
      <c r="L56" s="188">
        <f aca="true" t="shared" si="6" ref="L56:L71">AVERAGE(G56:K56)</f>
        <v>45792</v>
      </c>
      <c r="M56" s="188"/>
      <c r="N56" s="188"/>
      <c r="O56" s="188"/>
    </row>
    <row r="57" spans="3:15" ht="9.75">
      <c r="C57" s="177" t="str">
        <f>Operations!B15</f>
        <v>Housekeeping &amp; Janitorial (sq. ft)</v>
      </c>
      <c r="G57" s="188">
        <f>Operations!F15</f>
        <v>115200</v>
      </c>
      <c r="H57" s="188">
        <f>Operations!G15</f>
        <v>118656</v>
      </c>
      <c r="I57" s="188">
        <f>Operations!H15</f>
        <v>122112</v>
      </c>
      <c r="J57" s="188">
        <f>Operations!I15</f>
        <v>125568.00000000001</v>
      </c>
      <c r="K57" s="188">
        <f>Operations!J15</f>
        <v>129024.00000000001</v>
      </c>
      <c r="L57" s="188">
        <f t="shared" si="6"/>
        <v>122112</v>
      </c>
      <c r="M57" s="188"/>
      <c r="N57" s="188"/>
      <c r="O57" s="188"/>
    </row>
    <row r="58" spans="3:15" ht="9.75">
      <c r="C58" s="177" t="str">
        <f>Operations!B16</f>
        <v>Lease of space (sq. ft)</v>
      </c>
      <c r="G58" s="188">
        <f>Operations!F16</f>
        <v>0</v>
      </c>
      <c r="H58" s="188">
        <f>Operations!G16</f>
        <v>0</v>
      </c>
      <c r="I58" s="188">
        <f>Operations!H16</f>
        <v>0</v>
      </c>
      <c r="J58" s="188">
        <f>Operations!I16</f>
        <v>0</v>
      </c>
      <c r="K58" s="188">
        <f>Operations!J16</f>
        <v>0</v>
      </c>
      <c r="L58" s="188">
        <f t="shared" si="6"/>
        <v>0</v>
      </c>
      <c r="M58" s="188"/>
      <c r="N58" s="188"/>
      <c r="O58" s="188"/>
    </row>
    <row r="59" spans="3:15" ht="9.75">
      <c r="C59" s="177" t="str">
        <f>Operations!B17</f>
        <v>Building Maintenance (sq. ft.)</v>
      </c>
      <c r="G59" s="188">
        <f>Operations!F17</f>
        <v>72000</v>
      </c>
      <c r="H59" s="188">
        <f>Operations!G17</f>
        <v>74160</v>
      </c>
      <c r="I59" s="188">
        <f>Operations!H17</f>
        <v>76320</v>
      </c>
      <c r="J59" s="188">
        <f>Operations!I17</f>
        <v>78480</v>
      </c>
      <c r="K59" s="188">
        <f>Operations!J17</f>
        <v>80640.00000000001</v>
      </c>
      <c r="L59" s="188">
        <f t="shared" si="6"/>
        <v>76320</v>
      </c>
      <c r="M59" s="188"/>
      <c r="N59" s="188"/>
      <c r="O59" s="188"/>
    </row>
    <row r="60" spans="3:15" ht="9.75">
      <c r="C60" s="177" t="str">
        <f>Operations!B18</f>
        <v>Dietary (pt. day)*</v>
      </c>
      <c r="G60" s="188">
        <f>Operations!F18</f>
        <v>0</v>
      </c>
      <c r="H60" s="188">
        <f>Operations!G18</f>
        <v>0</v>
      </c>
      <c r="I60" s="188">
        <f>Operations!H18</f>
        <v>0</v>
      </c>
      <c r="J60" s="188">
        <f>Operations!I18</f>
        <v>0</v>
      </c>
      <c r="K60" s="188">
        <f>Operations!J18</f>
        <v>0</v>
      </c>
      <c r="L60" s="188">
        <f t="shared" si="6"/>
        <v>0</v>
      </c>
      <c r="M60" s="188"/>
      <c r="N60" s="188"/>
      <c r="O60" s="188"/>
    </row>
    <row r="61" spans="3:15" ht="9.75">
      <c r="C61" s="177" t="str">
        <f>Operations!B19</f>
        <v>Telephone (pt. day)</v>
      </c>
      <c r="G61" s="188">
        <f>Operations!F19</f>
        <v>6570</v>
      </c>
      <c r="H61" s="188">
        <f>Operations!G19</f>
        <v>6767.1</v>
      </c>
      <c r="I61" s="188">
        <f>Operations!H19</f>
        <v>6964.200000000001</v>
      </c>
      <c r="J61" s="188">
        <f>Operations!I19</f>
        <v>7161.3</v>
      </c>
      <c r="K61" s="188">
        <f>Operations!J19</f>
        <v>7358.400000000001</v>
      </c>
      <c r="L61" s="188">
        <f t="shared" si="6"/>
        <v>6964.2</v>
      </c>
      <c r="M61" s="188"/>
      <c r="N61" s="188"/>
      <c r="O61" s="188"/>
    </row>
    <row r="62" spans="3:15" ht="9.75">
      <c r="C62" s="177" t="str">
        <f>Operations!B20</f>
        <v>Other (pt. day)</v>
      </c>
      <c r="G62" s="188">
        <f>Operations!F20</f>
        <v>0</v>
      </c>
      <c r="H62" s="188">
        <f>Operations!G20</f>
        <v>0</v>
      </c>
      <c r="I62" s="188">
        <f>Operations!H20</f>
        <v>0</v>
      </c>
      <c r="J62" s="188">
        <f>Operations!I20</f>
        <v>0</v>
      </c>
      <c r="K62" s="188">
        <f>Operations!J20</f>
        <v>0</v>
      </c>
      <c r="L62" s="188">
        <f t="shared" si="6"/>
        <v>0</v>
      </c>
      <c r="M62" s="188"/>
      <c r="N62" s="188"/>
      <c r="O62" s="188"/>
    </row>
    <row r="63" spans="3:15" ht="9.75">
      <c r="C63" s="177" t="str">
        <f>Operations!B21</f>
        <v>Interest Expense</v>
      </c>
      <c r="G63" s="188">
        <f>Operations!F21</f>
        <v>0</v>
      </c>
      <c r="H63" s="188">
        <f>Operations!G21</f>
        <v>0</v>
      </c>
      <c r="I63" s="188">
        <f>Operations!H21</f>
        <v>0</v>
      </c>
      <c r="J63" s="188">
        <f>Operations!I21</f>
        <v>0</v>
      </c>
      <c r="K63" s="188">
        <f>Operations!J21</f>
        <v>0</v>
      </c>
      <c r="L63" s="188">
        <f t="shared" si="6"/>
        <v>0</v>
      </c>
      <c r="M63" s="188"/>
      <c r="N63" s="188"/>
      <c r="O63" s="188"/>
    </row>
    <row r="64" spans="3:15" ht="9.75">
      <c r="C64" s="177" t="str">
        <f>Operations!B22</f>
        <v>Secondary Loan</v>
      </c>
      <c r="G64" s="188">
        <f>Operations!F22</f>
        <v>0</v>
      </c>
      <c r="H64" s="188">
        <f>Operations!G22</f>
        <v>0</v>
      </c>
      <c r="I64" s="188">
        <f>Operations!H22</f>
        <v>0</v>
      </c>
      <c r="J64" s="188">
        <f>Operations!I22</f>
        <v>0</v>
      </c>
      <c r="K64" s="188">
        <f>Operations!J22</f>
        <v>0</v>
      </c>
      <c r="L64" s="188">
        <f t="shared" si="6"/>
        <v>0</v>
      </c>
      <c r="M64" s="188"/>
      <c r="N64" s="188"/>
      <c r="O64" s="188"/>
    </row>
    <row r="65" spans="3:15" ht="9.75">
      <c r="C65" s="177" t="str">
        <f>Operations!B23</f>
        <v>Landscaping &amp; Snow Removal</v>
      </c>
      <c r="G65" s="188">
        <f>Operations!F23</f>
        <v>25000</v>
      </c>
      <c r="H65" s="188">
        <f>Operations!G23</f>
        <v>25750</v>
      </c>
      <c r="I65" s="188">
        <f>Operations!H23</f>
        <v>26500</v>
      </c>
      <c r="J65" s="188">
        <f>Operations!I23</f>
        <v>27250.000000000004</v>
      </c>
      <c r="K65" s="188">
        <f>Operations!J23</f>
        <v>28000.000000000004</v>
      </c>
      <c r="L65" s="188">
        <f t="shared" si="6"/>
        <v>26500</v>
      </c>
      <c r="M65" s="188"/>
      <c r="N65" s="188"/>
      <c r="O65" s="188"/>
    </row>
    <row r="66" spans="3:15" ht="9.75">
      <c r="C66" s="177" t="str">
        <f>Operations!B24</f>
        <v>Room Rental (use if renting beds)</v>
      </c>
      <c r="G66" s="188">
        <f>Operations!F24</f>
        <v>0</v>
      </c>
      <c r="H66" s="188">
        <f>Operations!G24</f>
        <v>0</v>
      </c>
      <c r="I66" s="188">
        <f>Operations!H24</f>
        <v>0</v>
      </c>
      <c r="J66" s="188">
        <f>Operations!I24</f>
        <v>0</v>
      </c>
      <c r="K66" s="188">
        <f>Operations!J24</f>
        <v>0</v>
      </c>
      <c r="L66" s="188">
        <f t="shared" si="6"/>
        <v>0</v>
      </c>
      <c r="M66" s="188"/>
      <c r="N66" s="188"/>
      <c r="O66" s="188"/>
    </row>
    <row r="67" spans="3:15" ht="9.75">
      <c r="C67" s="177" t="str">
        <f>Operations!B25</f>
        <v>Additional Insurance</v>
      </c>
      <c r="G67" s="188">
        <f>Operations!F25</f>
        <v>12000</v>
      </c>
      <c r="H67" s="188">
        <f>Operations!G25</f>
        <v>12360</v>
      </c>
      <c r="I67" s="188">
        <f>Operations!H25</f>
        <v>12720</v>
      </c>
      <c r="J67" s="188">
        <f>Operations!I25</f>
        <v>13080.000000000002</v>
      </c>
      <c r="K67" s="188">
        <f>Operations!J25</f>
        <v>13440.000000000002</v>
      </c>
      <c r="L67" s="188">
        <f t="shared" si="6"/>
        <v>12720</v>
      </c>
      <c r="M67" s="188"/>
      <c r="N67" s="188"/>
      <c r="O67" s="188"/>
    </row>
    <row r="68" spans="3:15" ht="9.75">
      <c r="C68" s="177" t="str">
        <f>Operations!B26</f>
        <v>Computer (PCs, lines, software)</v>
      </c>
      <c r="G68" s="188">
        <f>Operations!F26</f>
        <v>20000</v>
      </c>
      <c r="H68" s="188">
        <f>Operations!G26</f>
        <v>20600</v>
      </c>
      <c r="I68" s="188">
        <f>Operations!H26</f>
        <v>21200</v>
      </c>
      <c r="J68" s="188">
        <f>Operations!I26</f>
        <v>21800</v>
      </c>
      <c r="K68" s="188">
        <f>Operations!J26</f>
        <v>22400.000000000004</v>
      </c>
      <c r="L68" s="188">
        <f t="shared" si="6"/>
        <v>21200</v>
      </c>
      <c r="M68" s="188"/>
      <c r="N68" s="188"/>
      <c r="O68" s="188"/>
    </row>
    <row r="69" spans="3:15" ht="9.75">
      <c r="C69" s="177" t="str">
        <f>Operations!B27</f>
        <v>spare</v>
      </c>
      <c r="G69" s="188">
        <f>Operations!F27</f>
        <v>0</v>
      </c>
      <c r="H69" s="188">
        <f>Operations!G27</f>
        <v>0</v>
      </c>
      <c r="I69" s="188">
        <f>Operations!H27</f>
        <v>0</v>
      </c>
      <c r="J69" s="188">
        <f>Operations!I27</f>
        <v>0</v>
      </c>
      <c r="K69" s="188">
        <f>Operations!J27</f>
        <v>0</v>
      </c>
      <c r="L69" s="188">
        <f t="shared" si="6"/>
        <v>0</v>
      </c>
      <c r="M69" s="188"/>
      <c r="N69" s="188"/>
      <c r="O69" s="188"/>
    </row>
    <row r="70" spans="3:15" ht="9.75">
      <c r="C70" s="177" t="str">
        <f>Operations!B28</f>
        <v>Contingency</v>
      </c>
      <c r="G70" s="188">
        <f>Operations!F28</f>
        <v>75000</v>
      </c>
      <c r="H70" s="188">
        <f>Operations!G28</f>
        <v>77250</v>
      </c>
      <c r="I70" s="188">
        <f>Operations!H28</f>
        <v>79500</v>
      </c>
      <c r="J70" s="188">
        <f>Operations!I28</f>
        <v>81750</v>
      </c>
      <c r="K70" s="188">
        <f>Operations!J28</f>
        <v>84000.00000000001</v>
      </c>
      <c r="L70" s="188">
        <f t="shared" si="6"/>
        <v>79500</v>
      </c>
      <c r="M70" s="188"/>
      <c r="N70" s="188"/>
      <c r="O70" s="188"/>
    </row>
    <row r="71" spans="3:15" ht="9.75">
      <c r="C71" s="177" t="str">
        <f>Operations!B29</f>
        <v>Miscellaneous and Adminstrative</v>
      </c>
      <c r="G71" s="188">
        <f>Operations!F29</f>
        <v>100000</v>
      </c>
      <c r="H71" s="188">
        <f>Operations!G29</f>
        <v>103000</v>
      </c>
      <c r="I71" s="188">
        <f>Operations!H29</f>
        <v>106000</v>
      </c>
      <c r="J71" s="188">
        <f>Operations!I29</f>
        <v>109000.00000000001</v>
      </c>
      <c r="K71" s="188">
        <f>Operations!J29</f>
        <v>112000.00000000001</v>
      </c>
      <c r="L71" s="188">
        <f t="shared" si="6"/>
        <v>106000</v>
      </c>
      <c r="M71" s="188"/>
      <c r="N71" s="188"/>
      <c r="O71" s="188"/>
    </row>
    <row r="72" spans="4:15" ht="10.5" thickBot="1">
      <c r="D72" s="193" t="s">
        <v>338</v>
      </c>
      <c r="G72" s="227">
        <f aca="true" t="shared" si="7" ref="G72:L72">SUM(G56:G71)</f>
        <v>468970</v>
      </c>
      <c r="H72" s="227">
        <f t="shared" si="7"/>
        <v>483039.1</v>
      </c>
      <c r="I72" s="227">
        <f t="shared" si="7"/>
        <v>497108.2</v>
      </c>
      <c r="J72" s="227">
        <f t="shared" si="7"/>
        <v>511177.3</v>
      </c>
      <c r="K72" s="227">
        <f t="shared" si="7"/>
        <v>525246.4000000001</v>
      </c>
      <c r="L72" s="227">
        <f t="shared" si="7"/>
        <v>497108.2</v>
      </c>
      <c r="M72" s="188"/>
      <c r="N72" s="188"/>
      <c r="O72" s="188"/>
    </row>
    <row r="73" spans="7:15" ht="9.75">
      <c r="G73" s="189"/>
      <c r="H73" s="189"/>
      <c r="I73" s="189"/>
      <c r="J73" s="189"/>
      <c r="K73" s="189"/>
      <c r="L73" s="189"/>
      <c r="M73" s="188"/>
      <c r="N73" s="188"/>
      <c r="O73" s="188"/>
    </row>
    <row r="74" spans="7:15" ht="9.75">
      <c r="G74" s="222"/>
      <c r="H74" s="222"/>
      <c r="I74" s="222"/>
      <c r="J74" s="222"/>
      <c r="K74" s="222"/>
      <c r="L74" s="222"/>
      <c r="M74" s="188"/>
      <c r="N74" s="188"/>
      <c r="O74" s="188"/>
    </row>
    <row r="75" spans="2:15" ht="10.5" thickBot="1">
      <c r="B75" s="176" t="s">
        <v>398</v>
      </c>
      <c r="G75" s="232">
        <f aca="true" t="shared" si="8" ref="G75:L75">G53-G72</f>
        <v>669979.5133395419</v>
      </c>
      <c r="H75" s="232">
        <f t="shared" si="8"/>
        <v>624078.1636181289</v>
      </c>
      <c r="I75" s="232">
        <f t="shared" si="8"/>
        <v>546490.4463359152</v>
      </c>
      <c r="J75" s="232">
        <f t="shared" si="8"/>
        <v>468902.7290537011</v>
      </c>
      <c r="K75" s="232">
        <f t="shared" si="8"/>
        <v>391315.0117714873</v>
      </c>
      <c r="L75" s="232">
        <f t="shared" si="8"/>
        <v>540153.1728237553</v>
      </c>
      <c r="M75" s="188"/>
      <c r="N75" s="188"/>
      <c r="O75" s="188"/>
    </row>
    <row r="76" spans="2:15" ht="9.75">
      <c r="B76" s="193" t="s">
        <v>183</v>
      </c>
      <c r="G76" s="185"/>
      <c r="H76" s="185"/>
      <c r="I76" s="185"/>
      <c r="J76" s="185"/>
      <c r="K76" s="185"/>
      <c r="L76" s="185"/>
      <c r="M76" s="188"/>
      <c r="N76" s="188"/>
      <c r="O76" s="188"/>
    </row>
    <row r="77" spans="2:15" ht="9.75">
      <c r="B77" s="193"/>
      <c r="G77" s="188"/>
      <c r="H77" s="188"/>
      <c r="I77" s="188"/>
      <c r="J77" s="188"/>
      <c r="K77" s="188"/>
      <c r="L77" s="188"/>
      <c r="M77" s="188"/>
      <c r="N77" s="188"/>
      <c r="O77" s="188"/>
    </row>
    <row r="78" spans="2:15" ht="9.75">
      <c r="B78" s="177" t="s">
        <v>112</v>
      </c>
      <c r="G78" s="185">
        <f>'Pro Forma IS'!G36</f>
        <v>0</v>
      </c>
      <c r="H78" s="185">
        <f>'Pro Forma IS'!H36</f>
        <v>0</v>
      </c>
      <c r="I78" s="185">
        <f>'Pro Forma IS'!I36</f>
        <v>0</v>
      </c>
      <c r="J78" s="185">
        <f>'Pro Forma IS'!J36</f>
        <v>0</v>
      </c>
      <c r="K78" s="185">
        <f>'Pro Forma IS'!K36</f>
        <v>0</v>
      </c>
      <c r="L78" s="188">
        <f>AVERAGE(G78:K78)</f>
        <v>0</v>
      </c>
      <c r="M78" s="188"/>
      <c r="N78" s="188"/>
      <c r="O78" s="188"/>
    </row>
    <row r="79" spans="2:15" ht="9.75">
      <c r="B79" s="177" t="s">
        <v>80</v>
      </c>
      <c r="G79" s="188">
        <f>'Pro Forma IS'!G37</f>
        <v>67944.44444444444</v>
      </c>
      <c r="H79" s="188">
        <f>'Pro Forma IS'!H37</f>
        <v>67944.44444444444</v>
      </c>
      <c r="I79" s="188">
        <f>'Pro Forma IS'!I37</f>
        <v>67944.44444444444</v>
      </c>
      <c r="J79" s="188">
        <f>'Pro Forma IS'!J37</f>
        <v>67944.44444444444</v>
      </c>
      <c r="K79" s="188">
        <f>'Pro Forma IS'!K37</f>
        <v>67944.44444444444</v>
      </c>
      <c r="L79" s="188">
        <f>AVERAGE(G79:K79)</f>
        <v>67944.44444444444</v>
      </c>
      <c r="M79" s="188"/>
      <c r="N79" s="188"/>
      <c r="O79" s="188"/>
    </row>
    <row r="80" spans="7:15" ht="9.75">
      <c r="G80" s="188"/>
      <c r="H80" s="188"/>
      <c r="I80" s="188"/>
      <c r="J80" s="188"/>
      <c r="K80" s="188"/>
      <c r="L80" s="188"/>
      <c r="M80" s="188"/>
      <c r="N80" s="188"/>
      <c r="O80" s="188"/>
    </row>
    <row r="81" spans="2:15" ht="10.5" thickBot="1">
      <c r="B81" s="176" t="s">
        <v>397</v>
      </c>
      <c r="G81" s="233">
        <f aca="true" t="shared" si="9" ref="G81:L81">G75+G78-G79</f>
        <v>602035.0688950974</v>
      </c>
      <c r="H81" s="233">
        <f t="shared" si="9"/>
        <v>556133.7191736845</v>
      </c>
      <c r="I81" s="233">
        <f t="shared" si="9"/>
        <v>478546.0018914708</v>
      </c>
      <c r="J81" s="233">
        <f t="shared" si="9"/>
        <v>400958.28460925666</v>
      </c>
      <c r="K81" s="233">
        <f t="shared" si="9"/>
        <v>323370.56732704287</v>
      </c>
      <c r="L81" s="233">
        <f t="shared" si="9"/>
        <v>472208.72837931087</v>
      </c>
      <c r="M81" s="191"/>
      <c r="N81" s="191"/>
      <c r="O81" s="191"/>
    </row>
    <row r="82" spans="7:15" ht="10.5" thickTop="1">
      <c r="G82" s="188"/>
      <c r="H82" s="188"/>
      <c r="I82" s="188"/>
      <c r="J82" s="188"/>
      <c r="K82" s="188"/>
      <c r="L82" s="188"/>
      <c r="N82" s="188"/>
      <c r="O82" s="188"/>
    </row>
    <row r="83" spans="7:11" ht="9.75">
      <c r="G83" s="195"/>
      <c r="H83" s="195"/>
      <c r="I83" s="195"/>
      <c r="J83" s="195"/>
      <c r="K83" s="195"/>
    </row>
    <row r="84" spans="6:11" ht="9.75">
      <c r="F84" s="196" t="str">
        <f>Reserved</f>
        <v>This product was created by Multi-View Incorporated.  It is reserved for the exclusive use of MVI clients. Need help?  828-698-5885</v>
      </c>
      <c r="H84" s="195"/>
      <c r="I84" s="195"/>
      <c r="J84" s="195"/>
      <c r="K84" s="195"/>
    </row>
    <row r="85" ht="12" customHeight="1"/>
  </sheetData>
  <sheetProtection password="DFAD" sheet="1" objects="1" scenarios="1"/>
  <printOptions/>
  <pageMargins left="0" right="0" top="0.5" bottom="0.5" header="0.5" footer="0.5"/>
  <pageSetup horizontalDpi="600" verticalDpi="600" orientation="landscape" scale="95" r:id="rId1"/>
  <headerFooter alignWithMargins="0">
    <oddFooter>&amp;L&amp;F  &amp;A</oddFooter>
  </headerFooter>
</worksheet>
</file>

<file path=xl/worksheets/sheet9.xml><?xml version="1.0" encoding="utf-8"?>
<worksheet xmlns="http://schemas.openxmlformats.org/spreadsheetml/2006/main" xmlns:r="http://schemas.openxmlformats.org/officeDocument/2006/relationships">
  <sheetPr>
    <tabColor indexed="18"/>
  </sheetPr>
  <dimension ref="A1:O73"/>
  <sheetViews>
    <sheetView showGridLines="0" zoomScalePageLayoutView="0" workbookViewId="0" topLeftCell="A1">
      <selection activeCell="M16" sqref="M16"/>
    </sheetView>
  </sheetViews>
  <sheetFormatPr defaultColWidth="9.140625" defaultRowHeight="12.75"/>
  <cols>
    <col min="1" max="1" width="1.57421875" style="34" customWidth="1"/>
    <col min="2" max="2" width="12.00390625" style="34" customWidth="1"/>
    <col min="3" max="3" width="8.140625" style="34" customWidth="1"/>
    <col min="4" max="4" width="7.28125" style="34" customWidth="1"/>
    <col min="5" max="5" width="6.8515625" style="34" customWidth="1"/>
    <col min="6" max="6" width="11.57421875" style="34" customWidth="1"/>
    <col min="7" max="7" width="10.421875" style="34" customWidth="1"/>
    <col min="8" max="8" width="8.7109375" style="34" customWidth="1"/>
    <col min="9" max="9" width="9.140625" style="34" customWidth="1"/>
    <col min="10" max="10" width="10.57421875" style="34" customWidth="1"/>
    <col min="11" max="11" width="12.8515625" style="34" customWidth="1"/>
    <col min="12" max="12" width="3.140625" style="34" customWidth="1"/>
    <col min="13" max="13" width="10.28125" style="34" customWidth="1"/>
    <col min="14" max="16384" width="9.140625" style="34" customWidth="1"/>
  </cols>
  <sheetData>
    <row r="1" spans="1:15" ht="12.75">
      <c r="A1" s="103" t="s">
        <v>6</v>
      </c>
      <c r="M1" s="43" t="s">
        <v>160</v>
      </c>
      <c r="N1" s="44" t="str">
        <f>Name</f>
        <v>Sunny Day Hospice</v>
      </c>
      <c r="O1" s="45"/>
    </row>
    <row r="2" spans="13:15" ht="12.75">
      <c r="M2" s="43" t="s">
        <v>161</v>
      </c>
      <c r="N2" s="44" t="str">
        <f>CON.Number</f>
        <v>XX-XXX</v>
      </c>
      <c r="O2" s="45"/>
    </row>
    <row r="3" spans="13:15" ht="11.25">
      <c r="M3" s="43" t="s">
        <v>162</v>
      </c>
      <c r="N3" s="46" t="s">
        <v>164</v>
      </c>
      <c r="O3" s="47" t="str">
        <f>state</f>
        <v>GA</v>
      </c>
    </row>
    <row r="4" spans="2:15" ht="11.25">
      <c r="B4" s="34" t="s">
        <v>111</v>
      </c>
      <c r="F4" s="104">
        <v>0</v>
      </c>
      <c r="G4" s="104">
        <v>0.01</v>
      </c>
      <c r="H4" s="104">
        <v>0.01</v>
      </c>
      <c r="I4" s="104">
        <v>0.01</v>
      </c>
      <c r="J4" s="104">
        <v>0.01</v>
      </c>
      <c r="M4" s="43" t="s">
        <v>163</v>
      </c>
      <c r="N4" s="48">
        <v>1</v>
      </c>
      <c r="O4" s="49" t="str">
        <f>Submission.Date</f>
        <v>3/30/17</v>
      </c>
    </row>
    <row r="5" spans="6:11" s="86" customFormat="1" ht="11.25">
      <c r="F5" s="105" t="str">
        <f>'Pro Forma IS'!G$2</f>
        <v>Year 1</v>
      </c>
      <c r="G5" s="105" t="str">
        <f>'Pro Forma IS'!H$2</f>
        <v>Year 2</v>
      </c>
      <c r="H5" s="105" t="str">
        <f>'Pro Forma IS'!I$2</f>
        <v>Year 3</v>
      </c>
      <c r="I5" s="105" t="str">
        <f>'Pro Forma IS'!J$2</f>
        <v>Year 4</v>
      </c>
      <c r="J5" s="105" t="str">
        <f>'Pro Forma IS'!K$2</f>
        <v>Year 5</v>
      </c>
      <c r="K5" s="35" t="s">
        <v>0</v>
      </c>
    </row>
    <row r="6" spans="2:11" ht="11.25">
      <c r="B6" s="34" t="s">
        <v>279</v>
      </c>
      <c r="D6" s="91" t="s">
        <v>27</v>
      </c>
      <c r="E6" s="91"/>
      <c r="F6" s="87">
        <f>'Pro Forma IS'!G$4</f>
        <v>8</v>
      </c>
      <c r="G6" s="87">
        <f>'Pro Forma IS'!H$4</f>
        <v>8</v>
      </c>
      <c r="H6" s="87">
        <f>'Pro Forma IS'!I$4</f>
        <v>8</v>
      </c>
      <c r="I6" s="87">
        <f>'Pro Forma IS'!J$4</f>
        <v>8</v>
      </c>
      <c r="J6" s="87">
        <f>'Pro Forma IS'!K$4</f>
        <v>8</v>
      </c>
      <c r="K6" s="106"/>
    </row>
    <row r="7" spans="2:11" ht="11.25">
      <c r="B7" s="34" t="s">
        <v>280</v>
      </c>
      <c r="D7" s="91" t="s">
        <v>27</v>
      </c>
      <c r="E7" s="91"/>
      <c r="F7" s="87">
        <f>'Pro Forma IS'!G$5</f>
        <v>1</v>
      </c>
      <c r="G7" s="87">
        <f>'Pro Forma IS'!H$5</f>
        <v>1</v>
      </c>
      <c r="H7" s="87">
        <f>'Pro Forma IS'!I$5</f>
        <v>1</v>
      </c>
      <c r="I7" s="87">
        <f>'Pro Forma IS'!J$5</f>
        <v>1</v>
      </c>
      <c r="J7" s="87">
        <f>'Pro Forma IS'!K$5</f>
        <v>1</v>
      </c>
      <c r="K7" s="106"/>
    </row>
    <row r="8" spans="2:11" ht="11.25">
      <c r="B8" s="34" t="s">
        <v>325</v>
      </c>
      <c r="D8" s="91" t="s">
        <v>27</v>
      </c>
      <c r="E8" s="91"/>
      <c r="F8" s="87">
        <f>'Pro Forma IS'!G$6</f>
        <v>2</v>
      </c>
      <c r="G8" s="87">
        <f>'Pro Forma IS'!H$6</f>
        <v>2</v>
      </c>
      <c r="H8" s="87">
        <f>'Pro Forma IS'!I$6</f>
        <v>2</v>
      </c>
      <c r="I8" s="87">
        <f>'Pro Forma IS'!J$6</f>
        <v>2</v>
      </c>
      <c r="J8" s="87">
        <f>'Pro Forma IS'!K$6</f>
        <v>2</v>
      </c>
      <c r="K8" s="106"/>
    </row>
    <row r="9" spans="2:11" ht="11.25">
      <c r="B9" s="34" t="s">
        <v>282</v>
      </c>
      <c r="D9" s="91" t="s">
        <v>27</v>
      </c>
      <c r="E9" s="91"/>
      <c r="F9" s="29">
        <f>'Pro Forma IS'!G$7</f>
        <v>2920</v>
      </c>
      <c r="G9" s="29">
        <f>'Pro Forma IS'!H$7</f>
        <v>2920</v>
      </c>
      <c r="H9" s="29">
        <f>'Pro Forma IS'!I$7</f>
        <v>2920</v>
      </c>
      <c r="I9" s="29">
        <f>'Pro Forma IS'!J$7</f>
        <v>2920</v>
      </c>
      <c r="J9" s="29">
        <f>'Pro Forma IS'!K$7</f>
        <v>2920</v>
      </c>
      <c r="K9" s="106"/>
    </row>
    <row r="10" spans="2:11" ht="11.25">
      <c r="B10" s="34" t="s">
        <v>283</v>
      </c>
      <c r="D10" s="91" t="s">
        <v>27</v>
      </c>
      <c r="E10" s="91"/>
      <c r="F10" s="29">
        <f>'Pro Forma IS'!G$8</f>
        <v>365</v>
      </c>
      <c r="G10" s="29">
        <f>'Pro Forma IS'!H$8</f>
        <v>365</v>
      </c>
      <c r="H10" s="29">
        <f>'Pro Forma IS'!I$8</f>
        <v>365</v>
      </c>
      <c r="I10" s="29">
        <f>'Pro Forma IS'!J$8</f>
        <v>365</v>
      </c>
      <c r="J10" s="29">
        <f>'Pro Forma IS'!K$8</f>
        <v>365</v>
      </c>
      <c r="K10" s="106"/>
    </row>
    <row r="11" spans="2:11" ht="11.25">
      <c r="B11" s="34" t="s">
        <v>324</v>
      </c>
      <c r="D11" s="91" t="s">
        <v>27</v>
      </c>
      <c r="E11" s="91"/>
      <c r="F11" s="29">
        <f>'Pro Forma IS'!G$9</f>
        <v>730</v>
      </c>
      <c r="G11" s="29">
        <f>'Pro Forma IS'!H$9</f>
        <v>730</v>
      </c>
      <c r="H11" s="29">
        <f>'Pro Forma IS'!I$9</f>
        <v>730</v>
      </c>
      <c r="I11" s="29">
        <f>'Pro Forma IS'!J$9</f>
        <v>730</v>
      </c>
      <c r="J11" s="29">
        <f>'Pro Forma IS'!K$9</f>
        <v>730</v>
      </c>
      <c r="K11" s="106"/>
    </row>
    <row r="12" ht="11.25"/>
    <row r="13" s="103" customFormat="1" ht="11.25">
      <c r="B13" s="103" t="s">
        <v>28</v>
      </c>
    </row>
    <row r="14" spans="3:4" s="107" customFormat="1" ht="11.25">
      <c r="C14" s="107" t="s">
        <v>29</v>
      </c>
      <c r="D14" s="107" t="s">
        <v>30</v>
      </c>
    </row>
    <row r="15" spans="2:11" ht="11.25">
      <c r="B15" s="34" t="s">
        <v>31</v>
      </c>
      <c r="C15" s="171">
        <v>1027.43</v>
      </c>
      <c r="D15" s="172">
        <v>0.85</v>
      </c>
      <c r="E15" s="110">
        <f>C15*D15</f>
        <v>873.3155</v>
      </c>
      <c r="F15" s="29">
        <f>F$9*$D15*$C15*(F$4+1)</f>
        <v>2550081.2600000002</v>
      </c>
      <c r="G15" s="29">
        <f>G$9*$D15*$C15*(G$4+1)</f>
        <v>2575582.0726</v>
      </c>
      <c r="H15" s="29">
        <f>H$9*$D15*$C15*(H$4+1)</f>
        <v>2575582.0726</v>
      </c>
      <c r="I15" s="29">
        <f>I$9*$D15*$C15*(I$4+1)</f>
        <v>2575582.0726</v>
      </c>
      <c r="J15" s="29">
        <f>J$9*$D15*$C15*(J$4+1)</f>
        <v>2575582.0726</v>
      </c>
      <c r="K15" s="29">
        <f aca="true" t="shared" si="0" ref="K15:K20">SUM(F15:J15)</f>
        <v>12852409.5504</v>
      </c>
    </row>
    <row r="16" spans="2:11" ht="11.25">
      <c r="B16" s="34" t="s">
        <v>32</v>
      </c>
      <c r="C16" s="171">
        <v>1027.43</v>
      </c>
      <c r="D16" s="172">
        <v>0.05</v>
      </c>
      <c r="E16" s="110">
        <f>C16*D16</f>
        <v>51.371500000000005</v>
      </c>
      <c r="F16" s="29">
        <f aca="true" t="shared" si="1" ref="F16:J19">F$9*$D16*$C16*(F$4+1)</f>
        <v>150004.78</v>
      </c>
      <c r="G16" s="29">
        <f t="shared" si="1"/>
        <v>151504.8278</v>
      </c>
      <c r="H16" s="29">
        <f t="shared" si="1"/>
        <v>151504.8278</v>
      </c>
      <c r="I16" s="29">
        <f t="shared" si="1"/>
        <v>151504.8278</v>
      </c>
      <c r="J16" s="29">
        <f t="shared" si="1"/>
        <v>151504.8278</v>
      </c>
      <c r="K16" s="29">
        <f t="shared" si="0"/>
        <v>756024.0911999999</v>
      </c>
    </row>
    <row r="17" spans="2:11" ht="11.25">
      <c r="B17" s="34" t="s">
        <v>33</v>
      </c>
      <c r="C17" s="171">
        <v>1027.43</v>
      </c>
      <c r="D17" s="172">
        <v>0.06</v>
      </c>
      <c r="E17" s="110">
        <f>C17*D17</f>
        <v>61.6458</v>
      </c>
      <c r="F17" s="29">
        <f t="shared" si="1"/>
        <v>180005.736</v>
      </c>
      <c r="G17" s="29">
        <f t="shared" si="1"/>
        <v>181805.79336</v>
      </c>
      <c r="H17" s="29">
        <f t="shared" si="1"/>
        <v>181805.79336</v>
      </c>
      <c r="I17" s="29">
        <f t="shared" si="1"/>
        <v>181805.79336</v>
      </c>
      <c r="J17" s="29">
        <f t="shared" si="1"/>
        <v>181805.79336</v>
      </c>
      <c r="K17" s="29">
        <f t="shared" si="0"/>
        <v>907228.9094400001</v>
      </c>
    </row>
    <row r="18" spans="2:11" ht="11.25">
      <c r="B18" s="34" t="s">
        <v>34</v>
      </c>
      <c r="C18" s="171">
        <v>0</v>
      </c>
      <c r="D18" s="172">
        <v>0.04</v>
      </c>
      <c r="E18" s="110">
        <f>C18*D18</f>
        <v>0</v>
      </c>
      <c r="F18" s="29">
        <f t="shared" si="1"/>
        <v>0</v>
      </c>
      <c r="G18" s="29">
        <f t="shared" si="1"/>
        <v>0</v>
      </c>
      <c r="H18" s="29">
        <f t="shared" si="1"/>
        <v>0</v>
      </c>
      <c r="I18" s="29">
        <f t="shared" si="1"/>
        <v>0</v>
      </c>
      <c r="J18" s="29">
        <f t="shared" si="1"/>
        <v>0</v>
      </c>
      <c r="K18" s="29">
        <f t="shared" si="0"/>
        <v>0</v>
      </c>
    </row>
    <row r="19" spans="2:11" ht="11.25">
      <c r="B19" s="34" t="s">
        <v>35</v>
      </c>
      <c r="C19" s="171">
        <v>2</v>
      </c>
      <c r="D19" s="109">
        <v>0</v>
      </c>
      <c r="E19" s="110">
        <f>C19*D19</f>
        <v>0</v>
      </c>
      <c r="F19" s="29">
        <f t="shared" si="1"/>
        <v>0</v>
      </c>
      <c r="G19" s="29">
        <f t="shared" si="1"/>
        <v>0</v>
      </c>
      <c r="H19" s="29">
        <f t="shared" si="1"/>
        <v>0</v>
      </c>
      <c r="I19" s="29">
        <f t="shared" si="1"/>
        <v>0</v>
      </c>
      <c r="J19" s="29">
        <f t="shared" si="1"/>
        <v>0</v>
      </c>
      <c r="K19" s="29">
        <f t="shared" si="0"/>
        <v>0</v>
      </c>
    </row>
    <row r="20" spans="2:11" ht="12" thickBot="1">
      <c r="B20" s="34" t="s">
        <v>36</v>
      </c>
      <c r="D20" s="111">
        <f>SUM(D15:D19)</f>
        <v>1</v>
      </c>
      <c r="E20" s="112">
        <f>SUM(E15:E19)</f>
        <v>986.3328</v>
      </c>
      <c r="F20" s="102">
        <f>SUM(F14:F19)</f>
        <v>2880091.776</v>
      </c>
      <c r="G20" s="102">
        <f>SUM(G14:G19)</f>
        <v>2908892.69376</v>
      </c>
      <c r="H20" s="102">
        <f>SUM(H14:H19)</f>
        <v>2908892.69376</v>
      </c>
      <c r="I20" s="102">
        <f>SUM(I14:I19)</f>
        <v>2908892.69376</v>
      </c>
      <c r="J20" s="102">
        <f>SUM(J14:J19)</f>
        <v>2908892.69376</v>
      </c>
      <c r="K20" s="102">
        <f t="shared" si="0"/>
        <v>14515662.551040001</v>
      </c>
    </row>
    <row r="21" spans="2:11" ht="12.75">
      <c r="B21" s="42"/>
      <c r="F21" s="42"/>
      <c r="G21" s="42"/>
      <c r="H21" s="42"/>
      <c r="I21" s="42"/>
      <c r="J21" s="42"/>
      <c r="K21" s="42"/>
    </row>
    <row r="22" spans="6:11" ht="11.25">
      <c r="F22" s="29"/>
      <c r="G22" s="29"/>
      <c r="H22" s="29"/>
      <c r="I22" s="29"/>
      <c r="J22" s="29"/>
      <c r="K22" s="29"/>
    </row>
    <row r="23" spans="2:11" ht="11.25">
      <c r="B23" s="34" t="s">
        <v>37</v>
      </c>
      <c r="D23" s="109">
        <v>-0.02</v>
      </c>
      <c r="E23" s="103"/>
      <c r="F23" s="29">
        <f>F20*$D$23</f>
        <v>-57601.83552</v>
      </c>
      <c r="G23" s="29">
        <f>G20*$D$23</f>
        <v>-58177.8538752</v>
      </c>
      <c r="H23" s="29">
        <f>H20*$D$23</f>
        <v>-58177.8538752</v>
      </c>
      <c r="I23" s="29">
        <f>I20*$D$23</f>
        <v>-58177.8538752</v>
      </c>
      <c r="J23" s="29">
        <f>J20*$D$23</f>
        <v>-58177.8538752</v>
      </c>
      <c r="K23" s="29">
        <f>SUM(F23:J23)</f>
        <v>-290313.2510208</v>
      </c>
    </row>
    <row r="24" spans="6:11" ht="11.25">
      <c r="F24" s="29"/>
      <c r="G24" s="29"/>
      <c r="H24" s="29"/>
      <c r="I24" s="29"/>
      <c r="J24" s="29"/>
      <c r="K24" s="29"/>
    </row>
    <row r="25" spans="2:11" ht="12" thickBot="1">
      <c r="B25" s="34" t="s">
        <v>331</v>
      </c>
      <c r="F25" s="33">
        <f>F20+F23</f>
        <v>2822489.94048</v>
      </c>
      <c r="G25" s="33">
        <f>G20+G23</f>
        <v>2850714.8398848004</v>
      </c>
      <c r="H25" s="33">
        <f>H20+H23</f>
        <v>2850714.8398848004</v>
      </c>
      <c r="I25" s="33">
        <f>I20+I23</f>
        <v>2850714.8398848004</v>
      </c>
      <c r="J25" s="33">
        <f>J20+J23</f>
        <v>2850714.8398848004</v>
      </c>
      <c r="K25" s="33">
        <f>SUM(F25:J25)</f>
        <v>14225349.300019203</v>
      </c>
    </row>
    <row r="26" spans="6:11" ht="12" thickTop="1">
      <c r="F26" s="30"/>
      <c r="G26" s="30"/>
      <c r="H26" s="30"/>
      <c r="I26" s="30"/>
      <c r="J26" s="30"/>
      <c r="K26" s="30"/>
    </row>
    <row r="27" spans="2:12" ht="11.25">
      <c r="B27" s="103" t="s">
        <v>38</v>
      </c>
      <c r="C27" s="103"/>
      <c r="D27" s="103"/>
      <c r="E27" s="103"/>
      <c r="F27" s="103"/>
      <c r="G27" s="103"/>
      <c r="H27" s="103"/>
      <c r="I27" s="103"/>
      <c r="J27" s="103"/>
      <c r="K27" s="103"/>
      <c r="L27" s="103"/>
    </row>
    <row r="28" spans="2:12" ht="11.25">
      <c r="B28" s="107"/>
      <c r="C28" s="107" t="s">
        <v>29</v>
      </c>
      <c r="D28" s="107" t="s">
        <v>30</v>
      </c>
      <c r="E28" s="107"/>
      <c r="F28" s="107"/>
      <c r="G28" s="107"/>
      <c r="H28" s="107"/>
      <c r="I28" s="107"/>
      <c r="J28" s="107"/>
      <c r="K28" s="107"/>
      <c r="L28" s="107"/>
    </row>
    <row r="29" spans="2:11" ht="11.25">
      <c r="B29" s="34" t="s">
        <v>39</v>
      </c>
      <c r="C29" s="171">
        <v>172</v>
      </c>
      <c r="D29" s="172">
        <v>0.85</v>
      </c>
      <c r="E29" s="110">
        <f>C29*D29</f>
        <v>146.2</v>
      </c>
      <c r="F29" s="29">
        <f>F$10*$D29*$C29*(F$4+1)</f>
        <v>53363</v>
      </c>
      <c r="G29" s="29">
        <f>G$10*$D29*$C29*(G$4+1)</f>
        <v>53896.63</v>
      </c>
      <c r="H29" s="29">
        <f>H$10*$D29*$C29*(H$4+1)</f>
        <v>53896.63</v>
      </c>
      <c r="I29" s="29">
        <f>I$10*$D29*$C29*(I$4+1)</f>
        <v>53896.63</v>
      </c>
      <c r="J29" s="29">
        <f>J$10*$D29*$C29*(J$4+1)</f>
        <v>53896.63</v>
      </c>
      <c r="K29" s="29">
        <f aca="true" t="shared" si="2" ref="K29:K34">SUM(F29:J29)</f>
        <v>268949.52</v>
      </c>
    </row>
    <row r="30" spans="2:11" ht="11.25">
      <c r="B30" s="34" t="s">
        <v>40</v>
      </c>
      <c r="C30" s="171">
        <v>172</v>
      </c>
      <c r="D30" s="172">
        <v>0.05</v>
      </c>
      <c r="E30" s="110">
        <f>C30*D30</f>
        <v>8.6</v>
      </c>
      <c r="F30" s="29">
        <f aca="true" t="shared" si="3" ref="F30:J33">F$10*$D30*$C30*(F$4+1)</f>
        <v>3139</v>
      </c>
      <c r="G30" s="29">
        <f t="shared" si="3"/>
        <v>3170.39</v>
      </c>
      <c r="H30" s="29">
        <f t="shared" si="3"/>
        <v>3170.39</v>
      </c>
      <c r="I30" s="29">
        <f t="shared" si="3"/>
        <v>3170.39</v>
      </c>
      <c r="J30" s="29">
        <f t="shared" si="3"/>
        <v>3170.39</v>
      </c>
      <c r="K30" s="29">
        <f t="shared" si="2"/>
        <v>15820.559999999998</v>
      </c>
    </row>
    <row r="31" spans="2:11" ht="11.25">
      <c r="B31" s="34" t="s">
        <v>33</v>
      </c>
      <c r="C31" s="171">
        <v>172</v>
      </c>
      <c r="D31" s="172">
        <v>0.06</v>
      </c>
      <c r="E31" s="110">
        <f>C31*D31</f>
        <v>10.32</v>
      </c>
      <c r="F31" s="29">
        <f t="shared" si="3"/>
        <v>3766.7999999999997</v>
      </c>
      <c r="G31" s="29">
        <f t="shared" si="3"/>
        <v>3804.468</v>
      </c>
      <c r="H31" s="29">
        <f t="shared" si="3"/>
        <v>3804.468</v>
      </c>
      <c r="I31" s="29">
        <f t="shared" si="3"/>
        <v>3804.468</v>
      </c>
      <c r="J31" s="29">
        <f t="shared" si="3"/>
        <v>3804.468</v>
      </c>
      <c r="K31" s="29">
        <f t="shared" si="2"/>
        <v>18984.672000000002</v>
      </c>
    </row>
    <row r="32" spans="2:11" ht="11.25">
      <c r="B32" s="34" t="s">
        <v>34</v>
      </c>
      <c r="C32" s="171">
        <v>0</v>
      </c>
      <c r="D32" s="172">
        <v>0.04</v>
      </c>
      <c r="E32" s="110">
        <f>C32*D32</f>
        <v>0</v>
      </c>
      <c r="F32" s="29">
        <f t="shared" si="3"/>
        <v>0</v>
      </c>
      <c r="G32" s="29">
        <f t="shared" si="3"/>
        <v>0</v>
      </c>
      <c r="H32" s="29">
        <f t="shared" si="3"/>
        <v>0</v>
      </c>
      <c r="I32" s="29">
        <f t="shared" si="3"/>
        <v>0</v>
      </c>
      <c r="J32" s="29">
        <f t="shared" si="3"/>
        <v>0</v>
      </c>
      <c r="K32" s="29">
        <f t="shared" si="2"/>
        <v>0</v>
      </c>
    </row>
    <row r="33" spans="2:11" ht="11.25">
      <c r="B33" s="34" t="s">
        <v>41</v>
      </c>
      <c r="C33" s="256">
        <v>190</v>
      </c>
      <c r="D33" s="109">
        <v>0.05</v>
      </c>
      <c r="E33" s="110">
        <f>C33*D33</f>
        <v>9.5</v>
      </c>
      <c r="F33" s="29">
        <f t="shared" si="3"/>
        <v>3467.5</v>
      </c>
      <c r="G33" s="29">
        <f t="shared" si="3"/>
        <v>3502.175</v>
      </c>
      <c r="H33" s="29">
        <f t="shared" si="3"/>
        <v>3502.175</v>
      </c>
      <c r="I33" s="29">
        <f t="shared" si="3"/>
        <v>3502.175</v>
      </c>
      <c r="J33" s="29">
        <f t="shared" si="3"/>
        <v>3502.175</v>
      </c>
      <c r="K33" s="29">
        <f t="shared" si="2"/>
        <v>17476.2</v>
      </c>
    </row>
    <row r="34" spans="2:11" ht="12" thickBot="1">
      <c r="B34" s="34" t="s">
        <v>36</v>
      </c>
      <c r="D34" s="113">
        <f>SUM(D29:D33)</f>
        <v>1.05</v>
      </c>
      <c r="E34" s="112">
        <f>SUM(E29:E33)</f>
        <v>174.61999999999998</v>
      </c>
      <c r="F34" s="31">
        <f>SUM(F28:F33)</f>
        <v>63736.3</v>
      </c>
      <c r="G34" s="31">
        <f>SUM(G28:G33)</f>
        <v>64373.663</v>
      </c>
      <c r="H34" s="31">
        <f>SUM(H28:H33)</f>
        <v>64373.663</v>
      </c>
      <c r="I34" s="31">
        <f>SUM(I28:I33)</f>
        <v>64373.663</v>
      </c>
      <c r="J34" s="31">
        <f>SUM(J28:J33)</f>
        <v>64373.663</v>
      </c>
      <c r="K34" s="31">
        <f t="shared" si="2"/>
        <v>321230.952</v>
      </c>
    </row>
    <row r="35" spans="2:11" ht="12.75">
      <c r="B35" s="42"/>
      <c r="F35" s="42"/>
      <c r="G35" s="42"/>
      <c r="H35" s="42"/>
      <c r="I35" s="42"/>
      <c r="J35" s="42"/>
      <c r="K35" s="42"/>
    </row>
    <row r="36" spans="6:11" ht="11.25">
      <c r="F36" s="29"/>
      <c r="G36" s="29"/>
      <c r="H36" s="29"/>
      <c r="I36" s="29"/>
      <c r="J36" s="29"/>
      <c r="K36" s="29"/>
    </row>
    <row r="37" spans="2:11" ht="11.25">
      <c r="B37" s="34" t="s">
        <v>37</v>
      </c>
      <c r="D37" s="109">
        <v>-0.02</v>
      </c>
      <c r="E37" s="103"/>
      <c r="F37" s="29">
        <f>F34*$D$37</f>
        <v>-1274.726</v>
      </c>
      <c r="G37" s="29">
        <f>G34*$D$37</f>
        <v>-1287.47326</v>
      </c>
      <c r="H37" s="29">
        <f>H34*$D$37</f>
        <v>-1287.47326</v>
      </c>
      <c r="I37" s="29">
        <f>I34*$D$37</f>
        <v>-1287.47326</v>
      </c>
      <c r="J37" s="29">
        <f>J34*$D$37</f>
        <v>-1287.47326</v>
      </c>
      <c r="K37" s="29">
        <f>SUM(F37:J37)</f>
        <v>-6424.61904</v>
      </c>
    </row>
    <row r="38" spans="6:11" ht="11.25">
      <c r="F38" s="29"/>
      <c r="G38" s="29"/>
      <c r="H38" s="29"/>
      <c r="I38" s="29"/>
      <c r="J38" s="29"/>
      <c r="K38" s="29"/>
    </row>
    <row r="39" spans="2:11" ht="12" thickBot="1">
      <c r="B39" s="34" t="s">
        <v>331</v>
      </c>
      <c r="F39" s="33">
        <f>F34+F37</f>
        <v>62461.574</v>
      </c>
      <c r="G39" s="33">
        <f>G34+G37</f>
        <v>63086.18974</v>
      </c>
      <c r="H39" s="33">
        <f>H34+H37</f>
        <v>63086.18974</v>
      </c>
      <c r="I39" s="33">
        <f>I34+I37</f>
        <v>63086.18974</v>
      </c>
      <c r="J39" s="33">
        <f>J34+J37</f>
        <v>63086.18974</v>
      </c>
      <c r="K39" s="33">
        <f>SUM(F39:J39)</f>
        <v>314806.33296</v>
      </c>
    </row>
    <row r="40" spans="6:11" ht="12" thickTop="1">
      <c r="F40" s="30"/>
      <c r="G40" s="30"/>
      <c r="H40" s="30"/>
      <c r="I40" s="30"/>
      <c r="J40" s="30"/>
      <c r="K40" s="30"/>
    </row>
    <row r="41" spans="2:11" ht="11.25">
      <c r="B41" s="103" t="s">
        <v>323</v>
      </c>
      <c r="C41" s="103"/>
      <c r="D41" s="103"/>
      <c r="E41" s="103"/>
      <c r="F41" s="103"/>
      <c r="G41" s="103"/>
      <c r="H41" s="103"/>
      <c r="I41" s="103"/>
      <c r="J41" s="103"/>
      <c r="K41" s="103"/>
    </row>
    <row r="42" spans="2:11" ht="11.25">
      <c r="B42" s="107"/>
      <c r="C42" s="107" t="s">
        <v>29</v>
      </c>
      <c r="D42" s="107" t="s">
        <v>30</v>
      </c>
      <c r="E42" s="107"/>
      <c r="F42" s="107"/>
      <c r="G42" s="107"/>
      <c r="H42" s="107"/>
      <c r="I42" s="107"/>
      <c r="J42" s="107"/>
      <c r="K42" s="107"/>
    </row>
    <row r="43" spans="2:11" ht="11.25">
      <c r="B43" s="34" t="s">
        <v>39</v>
      </c>
      <c r="C43" s="171">
        <v>449.78</v>
      </c>
      <c r="D43" s="172">
        <v>0.85</v>
      </c>
      <c r="E43" s="110">
        <f>C43*D43</f>
        <v>382.313</v>
      </c>
      <c r="F43" s="29">
        <f aca="true" t="shared" si="4" ref="F43:J47">F$11*$D43*$C43*(F$4+1)</f>
        <v>279088.49</v>
      </c>
      <c r="G43" s="29">
        <f t="shared" si="4"/>
        <v>281879.3749</v>
      </c>
      <c r="H43" s="29">
        <f t="shared" si="4"/>
        <v>281879.3749</v>
      </c>
      <c r="I43" s="29">
        <f t="shared" si="4"/>
        <v>281879.3749</v>
      </c>
      <c r="J43" s="29">
        <f t="shared" si="4"/>
        <v>281879.3749</v>
      </c>
      <c r="K43" s="29">
        <f aca="true" t="shared" si="5" ref="K43:K48">SUM(F43:J43)</f>
        <v>1406605.9895999997</v>
      </c>
    </row>
    <row r="44" spans="2:11" ht="11.25">
      <c r="B44" s="34" t="s">
        <v>40</v>
      </c>
      <c r="C44" s="171">
        <v>449.78</v>
      </c>
      <c r="D44" s="172">
        <v>0.05</v>
      </c>
      <c r="E44" s="110">
        <f>C44*D44</f>
        <v>22.489</v>
      </c>
      <c r="F44" s="29">
        <f t="shared" si="4"/>
        <v>16416.969999999998</v>
      </c>
      <c r="G44" s="29">
        <f t="shared" si="4"/>
        <v>16581.139699999996</v>
      </c>
      <c r="H44" s="29">
        <f t="shared" si="4"/>
        <v>16581.139699999996</v>
      </c>
      <c r="I44" s="29">
        <f t="shared" si="4"/>
        <v>16581.139699999996</v>
      </c>
      <c r="J44" s="29">
        <f t="shared" si="4"/>
        <v>16581.139699999996</v>
      </c>
      <c r="K44" s="29">
        <f t="shared" si="5"/>
        <v>82741.52879999999</v>
      </c>
    </row>
    <row r="45" spans="2:11" ht="11.25">
      <c r="B45" s="34" t="s">
        <v>33</v>
      </c>
      <c r="C45" s="171">
        <v>449.78</v>
      </c>
      <c r="D45" s="172">
        <v>0.06</v>
      </c>
      <c r="E45" s="110">
        <f>C45*D45</f>
        <v>26.9868</v>
      </c>
      <c r="F45" s="29">
        <f t="shared" si="4"/>
        <v>19700.363999999998</v>
      </c>
      <c r="G45" s="29">
        <f t="shared" si="4"/>
        <v>19897.367639999997</v>
      </c>
      <c r="H45" s="29">
        <f t="shared" si="4"/>
        <v>19897.367639999997</v>
      </c>
      <c r="I45" s="29">
        <f t="shared" si="4"/>
        <v>19897.367639999997</v>
      </c>
      <c r="J45" s="29">
        <f t="shared" si="4"/>
        <v>19897.367639999997</v>
      </c>
      <c r="K45" s="29">
        <f t="shared" si="5"/>
        <v>99289.83455999999</v>
      </c>
    </row>
    <row r="46" spans="2:11" ht="11.25">
      <c r="B46" s="34" t="s">
        <v>34</v>
      </c>
      <c r="C46" s="171">
        <v>0</v>
      </c>
      <c r="D46" s="172">
        <v>0.04</v>
      </c>
      <c r="E46" s="110">
        <f>C46*D46</f>
        <v>0</v>
      </c>
      <c r="F46" s="29">
        <f t="shared" si="4"/>
        <v>0</v>
      </c>
      <c r="G46" s="29">
        <f t="shared" si="4"/>
        <v>0</v>
      </c>
      <c r="H46" s="29">
        <f t="shared" si="4"/>
        <v>0</v>
      </c>
      <c r="I46" s="29">
        <f t="shared" si="4"/>
        <v>0</v>
      </c>
      <c r="J46" s="29">
        <f t="shared" si="4"/>
        <v>0</v>
      </c>
      <c r="K46" s="29">
        <f t="shared" si="5"/>
        <v>0</v>
      </c>
    </row>
    <row r="47" spans="2:11" ht="11.25">
      <c r="B47" s="34" t="s">
        <v>35</v>
      </c>
      <c r="C47" s="108">
        <v>0</v>
      </c>
      <c r="D47" s="109">
        <v>0</v>
      </c>
      <c r="E47" s="110">
        <f>C47*D47</f>
        <v>0</v>
      </c>
      <c r="F47" s="29">
        <f t="shared" si="4"/>
        <v>0</v>
      </c>
      <c r="G47" s="29">
        <f t="shared" si="4"/>
        <v>0</v>
      </c>
      <c r="H47" s="29">
        <f t="shared" si="4"/>
        <v>0</v>
      </c>
      <c r="I47" s="29">
        <f t="shared" si="4"/>
        <v>0</v>
      </c>
      <c r="J47" s="29">
        <f t="shared" si="4"/>
        <v>0</v>
      </c>
      <c r="K47" s="29">
        <f t="shared" si="5"/>
        <v>0</v>
      </c>
    </row>
    <row r="48" spans="2:11" ht="12" thickBot="1">
      <c r="B48" s="34" t="s">
        <v>36</v>
      </c>
      <c r="D48" s="113">
        <f>SUM(D43:D47)</f>
        <v>1</v>
      </c>
      <c r="E48" s="112">
        <f>SUM(E43:E47)</f>
        <v>431.7888</v>
      </c>
      <c r="F48" s="31">
        <f>SUM(F42:F47)</f>
        <v>315205.82399999996</v>
      </c>
      <c r="G48" s="31">
        <f>SUM(G42:G47)</f>
        <v>318357.88224</v>
      </c>
      <c r="H48" s="31">
        <f>SUM(H42:H47)</f>
        <v>318357.88224</v>
      </c>
      <c r="I48" s="31">
        <f>SUM(I42:I47)</f>
        <v>318357.88224</v>
      </c>
      <c r="J48" s="31">
        <f>SUM(J42:J47)</f>
        <v>318357.88224</v>
      </c>
      <c r="K48" s="31">
        <f t="shared" si="5"/>
        <v>1588637.3529599998</v>
      </c>
    </row>
    <row r="49" spans="2:11" ht="12.75">
      <c r="B49" s="42"/>
      <c r="F49" s="42"/>
      <c r="G49" s="42"/>
      <c r="H49" s="42"/>
      <c r="I49" s="42"/>
      <c r="J49" s="42"/>
      <c r="K49" s="42"/>
    </row>
    <row r="50" spans="6:11" ht="11.25">
      <c r="F50" s="29"/>
      <c r="G50" s="29"/>
      <c r="H50" s="29"/>
      <c r="I50" s="29"/>
      <c r="J50" s="29"/>
      <c r="K50" s="29"/>
    </row>
    <row r="51" spans="2:11" ht="11.25">
      <c r="B51" s="34" t="s">
        <v>37</v>
      </c>
      <c r="D51" s="109">
        <v>-0.1</v>
      </c>
      <c r="E51" s="103"/>
      <c r="F51" s="29">
        <f>F48*$D$51</f>
        <v>-31520.5824</v>
      </c>
      <c r="G51" s="29">
        <f>G48*$D$51</f>
        <v>-31835.788224000004</v>
      </c>
      <c r="H51" s="29">
        <f>H48*$D$51</f>
        <v>-31835.788224000004</v>
      </c>
      <c r="I51" s="29">
        <f>I48*$D$51</f>
        <v>-31835.788224000004</v>
      </c>
      <c r="J51" s="29">
        <f>J48*$D$51</f>
        <v>-31835.788224000004</v>
      </c>
      <c r="K51" s="29">
        <f>SUM(F51:J51)</f>
        <v>-158863.73529600003</v>
      </c>
    </row>
    <row r="52" spans="6:11" ht="11.25">
      <c r="F52" s="29"/>
      <c r="G52" s="29"/>
      <c r="H52" s="29"/>
      <c r="I52" s="29"/>
      <c r="J52" s="29"/>
      <c r="K52" s="29"/>
    </row>
    <row r="53" spans="2:11" ht="12" thickBot="1">
      <c r="B53" s="34" t="s">
        <v>331</v>
      </c>
      <c r="F53" s="33">
        <f>F48+F51</f>
        <v>283685.24159999995</v>
      </c>
      <c r="G53" s="33">
        <f>G48+G51</f>
        <v>286522.094016</v>
      </c>
      <c r="H53" s="33">
        <f>H48+H51</f>
        <v>286522.094016</v>
      </c>
      <c r="I53" s="33">
        <f>I48+I51</f>
        <v>286522.094016</v>
      </c>
      <c r="J53" s="33">
        <f>J48+J51</f>
        <v>286522.094016</v>
      </c>
      <c r="K53" s="33">
        <f>SUM(F53:J53)</f>
        <v>1429773.6176639998</v>
      </c>
    </row>
    <row r="54" spans="6:11" ht="12" thickTop="1">
      <c r="F54" s="30"/>
      <c r="G54" s="30"/>
      <c r="H54" s="30"/>
      <c r="I54" s="30"/>
      <c r="J54" s="30"/>
      <c r="K54" s="30"/>
    </row>
    <row r="55" spans="2:11" ht="11.25">
      <c r="B55" s="85" t="s">
        <v>381</v>
      </c>
      <c r="D55" s="150" t="s">
        <v>378</v>
      </c>
      <c r="E55" s="150" t="s">
        <v>379</v>
      </c>
      <c r="F55" s="30"/>
      <c r="G55" s="30"/>
      <c r="H55" s="30"/>
      <c r="I55" s="30"/>
      <c r="J55" s="30"/>
      <c r="K55" s="30"/>
    </row>
    <row r="56" spans="4:11" ht="9.75">
      <c r="D56" s="152" t="s">
        <v>380</v>
      </c>
      <c r="E56" s="152" t="s">
        <v>29</v>
      </c>
      <c r="F56" s="30"/>
      <c r="G56" s="30"/>
      <c r="H56" s="30"/>
      <c r="I56" s="30"/>
      <c r="J56" s="30"/>
      <c r="K56" s="30"/>
    </row>
    <row r="57" spans="2:11" ht="9.75">
      <c r="B57" s="34" t="s">
        <v>66</v>
      </c>
      <c r="D57" s="275">
        <v>1</v>
      </c>
      <c r="E57" s="274"/>
      <c r="F57" s="30">
        <f>F$9*$D$57*$E$57</f>
        <v>0</v>
      </c>
      <c r="G57" s="30">
        <f>G$9*$D$57*$E$57</f>
        <v>0</v>
      </c>
      <c r="H57" s="30">
        <f>H$9*$D$57*$E$57</f>
        <v>0</v>
      </c>
      <c r="I57" s="30">
        <f>I$9*$D$57*$E$57</f>
        <v>0</v>
      </c>
      <c r="J57" s="30">
        <f>J$9*$D$57*$E$57</f>
        <v>0</v>
      </c>
      <c r="K57" s="29">
        <f>SUM(F57:J57)</f>
        <v>0</v>
      </c>
    </row>
    <row r="58" spans="2:11" ht="9.75">
      <c r="B58" s="34" t="s">
        <v>76</v>
      </c>
      <c r="D58" s="275">
        <v>0.14</v>
      </c>
      <c r="E58" s="274">
        <v>0</v>
      </c>
      <c r="F58" s="30">
        <f>F$10*$D$58*$E$58</f>
        <v>0</v>
      </c>
      <c r="G58" s="30">
        <f>G$10*$D$58*$E$58</f>
        <v>0</v>
      </c>
      <c r="H58" s="30">
        <f>H$10*$D$58*$E$58</f>
        <v>0</v>
      </c>
      <c r="I58" s="30">
        <f>I$10*$D$58*$E$58</f>
        <v>0</v>
      </c>
      <c r="J58" s="30">
        <f>J$10*$D$58*$E$58</f>
        <v>0</v>
      </c>
      <c r="K58" s="29">
        <f>SUM(F58:J58)</f>
        <v>0</v>
      </c>
    </row>
    <row r="59" spans="2:11" ht="9.75">
      <c r="B59" s="34" t="s">
        <v>326</v>
      </c>
      <c r="D59" s="275">
        <v>1</v>
      </c>
      <c r="E59" s="274">
        <v>120</v>
      </c>
      <c r="F59" s="276">
        <f>F$11*$D$59*$E$59</f>
        <v>87600</v>
      </c>
      <c r="G59" s="121">
        <f>G$11*$D$59*$E$59</f>
        <v>87600</v>
      </c>
      <c r="H59" s="121">
        <f>H$11*$D$59*$E$59</f>
        <v>87600</v>
      </c>
      <c r="I59" s="121">
        <f>I$11*$D$59*$E$59</f>
        <v>87600</v>
      </c>
      <c r="J59" s="121">
        <f>J$11*$D$59*$E$59</f>
        <v>87600</v>
      </c>
      <c r="K59" s="121">
        <f>SUM(F59:J59)</f>
        <v>438000</v>
      </c>
    </row>
    <row r="60" spans="2:11" ht="9.75">
      <c r="B60" s="34" t="s">
        <v>382</v>
      </c>
      <c r="F60" s="30">
        <f aca="true" t="shared" si="6" ref="F60:K60">SUM(F57:F59)</f>
        <v>87600</v>
      </c>
      <c r="G60" s="30">
        <f t="shared" si="6"/>
        <v>87600</v>
      </c>
      <c r="H60" s="30">
        <f t="shared" si="6"/>
        <v>87600</v>
      </c>
      <c r="I60" s="30">
        <f t="shared" si="6"/>
        <v>87600</v>
      </c>
      <c r="J60" s="30">
        <f t="shared" si="6"/>
        <v>87600</v>
      </c>
      <c r="K60" s="30">
        <f t="shared" si="6"/>
        <v>438000</v>
      </c>
    </row>
    <row r="61" spans="6:11" ht="9.75">
      <c r="F61" s="30"/>
      <c r="G61" s="30"/>
      <c r="H61" s="30"/>
      <c r="I61" s="30"/>
      <c r="J61" s="30"/>
      <c r="K61" s="30"/>
    </row>
    <row r="62" spans="3:11" ht="10.5" thickBot="1">
      <c r="C62" s="34" t="s">
        <v>42</v>
      </c>
      <c r="F62" s="114">
        <f aca="true" t="shared" si="7" ref="F62:K62">F25+F39+F53+F60</f>
        <v>3256236.7560799997</v>
      </c>
      <c r="G62" s="114">
        <f t="shared" si="7"/>
        <v>3287923.1236408004</v>
      </c>
      <c r="H62" s="114">
        <f t="shared" si="7"/>
        <v>3287923.1236408004</v>
      </c>
      <c r="I62" s="114">
        <f t="shared" si="7"/>
        <v>3287923.1236408004</v>
      </c>
      <c r="J62" s="114">
        <f t="shared" si="7"/>
        <v>3287923.1236408004</v>
      </c>
      <c r="K62" s="114">
        <f t="shared" si="7"/>
        <v>16407929.250643203</v>
      </c>
    </row>
    <row r="63" spans="6:11" ht="10.5" thickTop="1">
      <c r="F63" s="30"/>
      <c r="G63" s="30"/>
      <c r="H63" s="30"/>
      <c r="I63" s="30"/>
      <c r="J63" s="30"/>
      <c r="K63" s="30"/>
    </row>
    <row r="64" spans="6:11" ht="9.75">
      <c r="F64" s="30"/>
      <c r="G64" s="30"/>
      <c r="H64" s="30"/>
      <c r="I64" s="30"/>
      <c r="J64" s="30"/>
      <c r="K64" s="30"/>
    </row>
    <row r="65" spans="1:11" ht="10.5">
      <c r="A65" s="103"/>
      <c r="F65" s="30"/>
      <c r="G65" s="30"/>
      <c r="H65" s="30"/>
      <c r="I65" s="30"/>
      <c r="J65" s="30"/>
      <c r="K65" s="30"/>
    </row>
    <row r="66" spans="2:11" ht="9.75">
      <c r="B66" s="147" t="str">
        <f>Reserved</f>
        <v>This product was created by Multi-View Incorporated.  It is reserved for the exclusive use of MVI clients. Need help?  828-698-5885</v>
      </c>
      <c r="F66" s="30"/>
      <c r="G66" s="30"/>
      <c r="H66" s="30"/>
      <c r="I66" s="30"/>
      <c r="J66" s="30"/>
      <c r="K66" s="30"/>
    </row>
    <row r="67" spans="6:11" ht="9.75">
      <c r="F67" s="30"/>
      <c r="G67" s="115"/>
      <c r="H67" s="116"/>
      <c r="I67" s="30"/>
      <c r="J67" s="30"/>
      <c r="K67" s="30"/>
    </row>
    <row r="68" spans="6:11" ht="9.75">
      <c r="F68" s="30"/>
      <c r="G68" s="115"/>
      <c r="H68" s="116"/>
      <c r="I68" s="30"/>
      <c r="J68" s="30"/>
      <c r="K68" s="30"/>
    </row>
    <row r="69" spans="8:11" ht="9.75">
      <c r="H69" s="116"/>
      <c r="I69" s="116"/>
      <c r="J69" s="116"/>
      <c r="K69" s="30"/>
    </row>
    <row r="70" spans="6:11" ht="9.75">
      <c r="F70" s="30"/>
      <c r="G70" s="30"/>
      <c r="H70" s="30"/>
      <c r="I70" s="30"/>
      <c r="J70" s="30"/>
      <c r="K70" s="30"/>
    </row>
    <row r="71" spans="6:11" ht="9.75">
      <c r="F71" s="30"/>
      <c r="G71" s="30"/>
      <c r="H71" s="30"/>
      <c r="I71" s="30"/>
      <c r="J71" s="30"/>
      <c r="K71" s="30"/>
    </row>
    <row r="72" spans="6:11" ht="9.75">
      <c r="F72" s="30"/>
      <c r="G72" s="30"/>
      <c r="H72" s="30"/>
      <c r="I72" s="30"/>
      <c r="J72" s="30"/>
      <c r="K72" s="30"/>
    </row>
    <row r="73" spans="6:11" ht="9.75">
      <c r="F73" s="30"/>
      <c r="G73" s="30"/>
      <c r="H73" s="30"/>
      <c r="I73" s="30"/>
      <c r="J73" s="30"/>
      <c r="K73" s="30"/>
    </row>
  </sheetData>
  <sheetProtection password="DFAD" sheet="1" objects="1" scenarios="1"/>
  <printOptions/>
  <pageMargins left="0" right="0" top="0.75" bottom="0.75" header="0.5" footer="0.5"/>
  <pageSetup horizontalDpi="300" verticalDpi="300" orientation="landscape" scale="80" r:id="rId4"/>
  <headerFooter alignWithMargins="0">
    <oddFooter>&amp;L&amp;f  &amp;A</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Mankind</dc:creator>
  <cp:keywords/>
  <dc:description/>
  <cp:lastModifiedBy>Andrew Reed</cp:lastModifiedBy>
  <cp:lastPrinted>2020-01-13T17:26:12Z</cp:lastPrinted>
  <dcterms:created xsi:type="dcterms:W3CDTF">1996-01-15T06:39:59Z</dcterms:created>
  <dcterms:modified xsi:type="dcterms:W3CDTF">2022-01-19T16:22:55Z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at2">
    <vt:lpwstr>Inpatient Units</vt:lpwstr>
  </property>
  <property fmtid="{D5CDD505-2E9C-101B-9397-08002B2CF9AE}" pid="3" name="Keyword">
    <vt:lpwstr>Inpatient Units Hospice Model Costs</vt:lpwstr>
  </property>
  <property fmtid="{D5CDD505-2E9C-101B-9397-08002B2CF9AE}" pid="4" name="Area">
    <vt:lpwstr>Hospice</vt:lpwstr>
  </property>
  <property fmtid="{D5CDD505-2E9C-101B-9397-08002B2CF9AE}" pid="5" name="Document Type">
    <vt:lpwstr>Report</vt:lpwstr>
  </property>
</Properties>
</file>